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300"/>
  </bookViews>
  <sheets>
    <sheet name="Отчет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<sst xmlns="http://schemas.openxmlformats.org/spreadsheetml/2006/main" count="125" uniqueCount="48">
  <si>
    <t xml:space="preserve">СВЕДЕНИЯ 
о поступлении средств в избирательные фонды кандидатов и расходовании этих средств 
(на основании данных, предоставленных филиалами ПАО Сбербанк и другой кредитной организацией)
</t>
  </si>
  <si>
    <t>Выборы депутатов Совета народных депутатов города Коврова Владимирской области восьмого созыва</t>
  </si>
  <si>
    <t>По состоянию на 30.08.2024</t>
  </si>
  <si>
    <t>В тыс. руб.</t>
  </si>
  <si>
    <t>1</t>
  </si>
  <si>
    <t>1.</t>
  </si>
  <si>
    <t>23.08.2024</t>
  </si>
  <si>
    <t/>
  </si>
  <si>
    <t>2.</t>
  </si>
  <si>
    <t>3.</t>
  </si>
  <si>
    <t>4.</t>
  </si>
  <si>
    <t>5.</t>
  </si>
  <si>
    <t>25.08.2024</t>
  </si>
  <si>
    <t>6.</t>
  </si>
  <si>
    <t>7.</t>
  </si>
  <si>
    <t>24.08.2024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</si>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</sst>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#\ ##0.00"/>
    <numFmt numFmtId="181" formatCode="dd\.mm\.yyyy"/>
  </numFmts>
  <fonts count="27">
    <font>
      <sz val="11"/>
      <color theme="1"/>
      <name val="Calibri"/>
      <charset val="204"/>
      <scheme val="minor"/>
    </font>
    <font>
      <b/>
      <sz val="12"/>
      <color theme="1"/>
      <name val="Times New Roman"/>
      <charset val="204"/>
    </font>
    <font>
      <u/>
      <sz val="12"/>
      <color theme="1"/>
      <name val="Times New Roman"/>
      <charset val="204"/>
    </font>
    <font>
      <b/>
      <sz val="10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color theme="1"/>
      <name val="Times New Roman"/>
      <charset val="204"/>
    </font>
    <font>
      <sz val="11"/>
      <color theme="1"/>
      <name val="Times New Roman"/>
      <charset val="204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5F5F5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7" fillId="0" borderId="0" applyFont="0" applyFill="0" applyBorder="0" applyAlignment="0" applyProtection="0">
      <alignment vertical="center"/>
    </xf>
    <xf numFmtId="177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178" fontId="7" fillId="0" borderId="0" applyFont="0" applyFill="0" applyBorder="0" applyAlignment="0" applyProtection="0">
      <alignment vertical="center"/>
    </xf>
    <xf numFmtId="179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4" borderId="10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11" applyNumberFormat="0" applyFill="0" applyAlignment="0" applyProtection="0">
      <alignment vertical="center"/>
    </xf>
    <xf numFmtId="0" fontId="14" fillId="0" borderId="11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6" borderId="14" applyNumberFormat="0" applyAlignment="0" applyProtection="0">
      <alignment vertical="center"/>
    </xf>
    <xf numFmtId="0" fontId="18" fillId="6" borderId="13" applyNumberFormat="0" applyAlignment="0" applyProtection="0">
      <alignment vertical="center"/>
    </xf>
    <xf numFmtId="0" fontId="19" fillId="7" borderId="15" applyNumberFormat="0" applyAlignment="0" applyProtection="0">
      <alignment vertical="center"/>
    </xf>
    <xf numFmtId="0" fontId="20" fillId="0" borderId="16" applyNumberFormat="0" applyFill="0" applyAlignment="0" applyProtection="0">
      <alignment vertical="center"/>
    </xf>
    <xf numFmtId="0" fontId="21" fillId="0" borderId="17" applyNumberFormat="0" applyFill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  <xf numFmtId="0" fontId="26" fillId="33" borderId="0" applyNumberFormat="0" applyBorder="0" applyAlignment="0" applyProtection="0">
      <alignment vertical="center"/>
    </xf>
    <xf numFmtId="0" fontId="25" fillId="34" borderId="0" applyNumberFormat="0" applyBorder="0" applyAlignment="0" applyProtection="0">
      <alignment vertical="center"/>
    </xf>
  </cellStyleXfs>
  <cellXfs count="28">
    <xf numFmtId="0" fontId="0" fillId="0" borderId="0" xfId="0"/>
    <xf numFmtId="0" fontId="1" fillId="2" borderId="0" xfId="0" applyFont="1" applyFill="1" applyAlignment="1">
      <alignment horizontal="center" vertical="center" wrapText="1"/>
    </xf>
    <xf numFmtId="49" fontId="2" fillId="0" borderId="0" xfId="0" applyNumberFormat="1" applyFont="1" applyAlignment="1">
      <alignment horizontal="center" vertical="center" wrapText="1"/>
    </xf>
    <xf numFmtId="0" fontId="3" fillId="3" borderId="1" xfId="0" applyNumberFormat="1" applyFont="1" applyFill="1" applyBorder="1" applyAlignment="1">
      <alignment horizontal="center" vertical="center" wrapText="1"/>
    </xf>
    <xf numFmtId="0" fontId="3" fillId="3" borderId="2" xfId="0" applyNumberFormat="1" applyFont="1" applyFill="1" applyBorder="1" applyAlignment="1">
      <alignment horizontal="center" vertical="center" wrapText="1"/>
    </xf>
    <xf numFmtId="0" fontId="3" fillId="3" borderId="3" xfId="0" applyNumberFormat="1" applyFont="1" applyFill="1" applyBorder="1" applyAlignment="1">
      <alignment horizontal="center" vertical="center" wrapText="1"/>
    </xf>
    <xf numFmtId="0" fontId="3" fillId="3" borderId="4" xfId="0" applyNumberFormat="1" applyFont="1" applyFill="1" applyBorder="1" applyAlignment="1">
      <alignment horizontal="center" vertical="center" wrapText="1"/>
    </xf>
    <xf numFmtId="0" fontId="3" fillId="3" borderId="5" xfId="0" applyNumberFormat="1" applyFont="1" applyFill="1" applyBorder="1" applyAlignment="1">
      <alignment horizontal="center" vertical="center" wrapText="1"/>
    </xf>
    <xf numFmtId="0" fontId="3" fillId="3" borderId="6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center" vertical="center" wrapText="1"/>
    </xf>
    <xf numFmtId="0" fontId="4" fillId="2" borderId="7" xfId="0" applyNumberFormat="1" applyFont="1" applyFill="1" applyBorder="1" applyAlignment="1">
      <alignment horizontal="left" vertical="center" wrapText="1"/>
    </xf>
    <xf numFmtId="180" fontId="4" fillId="2" borderId="7" xfId="0" applyNumberFormat="1" applyFont="1" applyFill="1" applyBorder="1" applyAlignment="1">
      <alignment horizontal="right" vertical="center" wrapText="1"/>
    </xf>
    <xf numFmtId="1" fontId="4" fillId="2" borderId="7" xfId="0" applyNumberFormat="1" applyFont="1" applyFill="1" applyBorder="1" applyAlignment="1">
      <alignment horizontal="center" vertical="center" wrapText="1"/>
    </xf>
    <xf numFmtId="0" fontId="3" fillId="3" borderId="7" xfId="0" applyNumberFormat="1" applyFont="1" applyFill="1" applyBorder="1" applyAlignment="1">
      <alignment horizontal="left" vertical="center" wrapText="1"/>
    </xf>
    <xf numFmtId="180" fontId="3" fillId="3" borderId="7" xfId="0" applyNumberFormat="1" applyFont="1" applyFill="1" applyBorder="1" applyAlignment="1">
      <alignment horizontal="right" vertical="center" wrapText="1"/>
    </xf>
    <xf numFmtId="1" fontId="3" fillId="3" borderId="7" xfId="0" applyNumberFormat="1" applyFont="1" applyFill="1" applyBorder="1" applyAlignment="1">
      <alignment horizontal="center" vertical="center" wrapText="1"/>
    </xf>
    <xf numFmtId="0" fontId="5" fillId="0" borderId="0" xfId="0" applyFont="1" applyAlignment="1">
      <alignment horizontal="right"/>
    </xf>
    <xf numFmtId="49" fontId="5" fillId="0" borderId="0" xfId="0" applyNumberFormat="1" applyFont="1" applyAlignment="1">
      <alignment horizontal="right" vertical="center"/>
    </xf>
    <xf numFmtId="0" fontId="0" fillId="0" borderId="0" xfId="0" applyAlignment="1"/>
    <xf numFmtId="181" fontId="4" fillId="2" borderId="7" xfId="0" applyNumberFormat="1" applyFont="1" applyFill="1" applyBorder="1" applyAlignment="1">
      <alignment horizontal="center" vertical="center" wrapText="1"/>
    </xf>
    <xf numFmtId="181" fontId="3" fillId="3" borderId="7" xfId="0" applyNumberFormat="1" applyFont="1" applyFill="1" applyBorder="1" applyAlignment="1">
      <alignment horizontal="center" vertical="center" wrapText="1"/>
    </xf>
    <xf numFmtId="49" fontId="6" fillId="0" borderId="0" xfId="0" applyNumberFormat="1" applyFont="1" applyAlignment="1">
      <alignment horizontal="left" wrapText="1"/>
    </xf>
    <xf numFmtId="49" fontId="6" fillId="0" borderId="8" xfId="0" applyNumberFormat="1" applyFont="1" applyBorder="1" applyAlignment="1">
      <alignment horizontal="left" vertical="center" wrapText="1"/>
    </xf>
    <xf numFmtId="49" fontId="6" fillId="0" borderId="0" xfId="0" applyNumberFormat="1" applyFont="1" applyAlignment="1">
      <alignment horizontal="left" vertical="top" wrapText="1"/>
    </xf>
    <xf numFmtId="49" fontId="6" fillId="0" borderId="9" xfId="0" applyNumberFormat="1" applyFont="1" applyBorder="1" applyAlignment="1">
      <alignment horizontal="center" vertical="top" wrapText="1"/>
    </xf>
    <xf numFmtId="49" fontId="6" fillId="0" borderId="8" xfId="0" applyNumberFormat="1" applyFont="1" applyBorder="1" applyAlignment="1">
      <alignment horizontal="right" vertical="center" wrapText="1"/>
    </xf>
    <xf numFmtId="49" fontId="6" fillId="0" borderId="9" xfId="0" applyNumberFormat="1" applyFont="1" applyBorder="1" applyAlignment="1">
      <alignment horizontal="right" vertical="top" wrapText="1"/>
    </xf>
    <xf numFmtId="0" fontId="3" fillId="3" borderId="7" xfId="0" applyNumberFormat="1" applyFont="1" applyFill="1" applyBorder="1" applyAlignment="1" quotePrefix="1">
      <alignment horizontal="center" vertical="center" wrapText="1"/>
    </xf>
    <xf numFmtId="0" fontId="4" fillId="2" borderId="7" xfId="0" applyNumberFormat="1" applyFont="1" applyFill="1" applyBorder="1" applyAlignment="1" quotePrefix="1">
      <alignment horizontal="center" vertical="center" wrapText="1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O125"/>
  <sheetViews>
    <sheetView tabSelected="1" workbookViewId="0">
      <selection activeCell="A4" sqref="A4:N4"/>
    </sheetView>
  </sheetViews>
  <sheetFormatPr defaultColWidth="9" defaultRowHeight="15"/>
  <cols>
    <col min="1" max="1" width="8.14285714285714" customWidth="1"/>
    <col min="2" max="3" width="12.7142857142857" customWidth="1"/>
    <col min="4" max="5" width="15.7142857142857" customWidth="1"/>
    <col min="6" max="6" width="9.71428571428571" customWidth="1"/>
    <col min="7" max="7" width="15.7142857142857" customWidth="1"/>
    <col min="8" max="8" width="5.71428571428571" customWidth="1"/>
    <col min="9" max="9" width="15.7142857142857" customWidth="1"/>
    <col min="10" max="10" width="13.1428571428571" customWidth="1"/>
    <col min="11" max="11" width="15.7142857142857" customWidth="1"/>
    <col min="12" max="12" width="16.5714285714286" customWidth="1"/>
    <col min="13" max="13" width="15.7142857142857" customWidth="1"/>
    <col min="14" max="14" width="18.5714285714286" customWidth="1"/>
    <col min="15" max="15" width="9.14285714285714" customWidth="1"/>
  </cols>
  <sheetData>
    <row r="1" customHeight="1" spans="14:14">
      <c r="N1" s="17"/>
    </row>
    <row r="2" spans="14:14">
      <c r="N2" s="17"/>
    </row>
    <row r="3" spans="14:14">
      <c r="N3" s="17"/>
    </row>
    <row r="4" ht="105" customHeight="1" spans="1:14">
      <c r="A4" s="1" t="s">
        <v>0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</row>
    <row r="5" ht="15.75" spans="1:14">
      <c r="A5" s="2" t="s">
        <v>1</v>
      </c>
      <c r="B5" s="2"/>
      <c r="C5" s="2"/>
      <c r="D5" s="2"/>
      <c r="E5" s="2"/>
      <c r="F5" s="2"/>
      <c r="G5" s="2"/>
      <c r="H5" s="2"/>
      <c r="I5" s="2"/>
      <c r="J5" s="2"/>
      <c r="K5" s="2"/>
      <c r="L5" s="2"/>
      <c r="M5" s="2"/>
      <c r="N5" s="2"/>
    </row>
    <row r="6" spans="14:14">
      <c r="N6" s="18" t="s">
        <v>2</v>
      </c>
    </row>
    <row r="7" spans="14:14">
      <c r="N7" s="18" t="s">
        <v>3</v>
      </c>
    </row>
    <row r="8" ht="24" customHeight="1" spans="1:14">
      <c r="A8" s="3" t="str">
        <f t="shared" ref="A8:A11" si="0">"№
п/п"</f>
        <v>№
п/п</v>
      </c>
      <c r="B8" s="3" t="str">
        <f t="shared" ref="B8:B11" si="1">"Наименование территории"</f>
        <v>Наименование территории</v>
      </c>
      <c r="C8" s="3" t="str">
        <f t="shared" ref="C8:C11" si="2">"Фамилия, имя, отчество кандидата"</f>
        <v>Фамилия, имя, отчество кандидата</v>
      </c>
      <c r="D8" s="4" t="str">
        <f t="shared" ref="D8:H8" si="3">"Поступило средств"</f>
        <v>Поступило средств</v>
      </c>
      <c r="E8" s="5"/>
      <c r="F8" s="5"/>
      <c r="G8" s="5"/>
      <c r="H8" s="6"/>
      <c r="I8" s="4" t="str">
        <f t="shared" ref="I8:L8" si="4">"Израсходовано средств"</f>
        <v>Израсходовано средств</v>
      </c>
      <c r="J8" s="5"/>
      <c r="K8" s="5"/>
      <c r="L8" s="6"/>
      <c r="M8" s="4" t="str">
        <f t="shared" ref="M8:N8" si="5">"Возвращено средств"</f>
        <v>Возвращено средств</v>
      </c>
      <c r="N8" s="6"/>
    </row>
    <row r="9" ht="53.1" customHeight="1" spans="1:15">
      <c r="A9" s="7"/>
      <c r="B9" s="7"/>
      <c r="C9" s="7"/>
      <c r="D9" s="3" t="str">
        <f t="shared" ref="D9:D11" si="6">"всего"</f>
        <v>всего</v>
      </c>
      <c r="E9" s="4" t="str">
        <f t="shared" ref="E9:H9" si="7">"из них"</f>
        <v>из них</v>
      </c>
      <c r="F9" s="5"/>
      <c r="G9" s="5"/>
      <c r="H9" s="6"/>
      <c r="I9" s="3" t="str">
        <f t="shared" ref="I9:I11" si="8">"всего"</f>
        <v>всего</v>
      </c>
      <c r="J9" s="4" t="str">
        <f>"из них финансовые операции по расходованию средств на сумму, превышающую 50 тыс. рублей"</f>
        <v>из них финансовые операции по расходованию средств на сумму, превышающую 50 тыс. рублей</v>
      </c>
      <c r="K9" s="5"/>
      <c r="L9" s="6"/>
      <c r="M9" s="3" t="str">
        <f t="shared" ref="M9:M11" si="9">"сумма, тыс. руб."</f>
        <v>сумма, тыс. руб.</v>
      </c>
      <c r="N9" s="3" t="str">
        <f t="shared" ref="N9:N11" si="10">"основание возврата"</f>
        <v>основание возврата</v>
      </c>
      <c r="O9" s="19"/>
    </row>
    <row r="10" ht="69.95" customHeight="1" spans="1:15">
      <c r="A10" s="7"/>
      <c r="B10" s="7"/>
      <c r="C10" s="7"/>
      <c r="D10" s="7"/>
      <c r="E10" s="4" t="str">
        <f>"пожертвования от юридических лиц на сумму, превышающую 25 тыс. рублей"</f>
        <v>пожертвования от юридических лиц на сумму, превышающую 25 тыс. рублей</v>
      </c>
      <c r="F10" s="6"/>
      <c r="G10" s="4" t="str">
        <f>"пожертвования от граждан на сумму, превышающую  20тыс. рублей"</f>
        <v>пожертвования от граждан на сумму, превышающую  20тыс. рублей</v>
      </c>
      <c r="H10" s="6"/>
      <c r="I10" s="7"/>
      <c r="J10" s="3" t="str">
        <f t="shared" ref="J10:J11" si="11">"дата операции"</f>
        <v>дата операции</v>
      </c>
      <c r="K10" s="3" t="str">
        <f t="shared" ref="K10:K11" si="12">"сумма, тыс. руб."</f>
        <v>сумма, тыс. руб.</v>
      </c>
      <c r="L10" s="3" t="str">
        <f t="shared" ref="L10:L11" si="13">"назначение платежа"</f>
        <v>назначение платежа</v>
      </c>
      <c r="M10" s="7"/>
      <c r="N10" s="7"/>
      <c r="O10" s="19"/>
    </row>
    <row r="11" ht="75" customHeight="1" spans="1:15">
      <c r="A11" s="8"/>
      <c r="B11" s="8"/>
      <c r="C11" s="8"/>
      <c r="D11" s="8"/>
      <c r="E11" s="9" t="str">
        <f>"сумма, тыс. руб."</f>
        <v>сумма, тыс. руб.</v>
      </c>
      <c r="F11" s="9" t="str">
        <f>"наименование юридического лица"</f>
        <v>наименование юридического лица</v>
      </c>
      <c r="G11" s="9" t="str">
        <f>"сумма, тыс. руб."</f>
        <v>сумма, тыс. руб.</v>
      </c>
      <c r="H11" s="9" t="str">
        <f>"кол-во граждан"</f>
        <v>кол-во граждан</v>
      </c>
      <c r="I11" s="8"/>
      <c r="J11" s="8"/>
      <c r="K11" s="8"/>
      <c r="L11" s="8"/>
      <c r="M11" s="8"/>
      <c r="N11" s="8"/>
      <c r="O11" s="19"/>
    </row>
    <row r="12" spans="1:15">
      <c r="A12" s="28" t="s">
        <v>4</v>
      </c>
      <c r="B12" s="9" t="str">
        <f>"2"</f>
        <v>2</v>
      </c>
      <c r="C12" s="9" t="str">
        <f>"3"</f>
        <v>3</v>
      </c>
      <c r="D12" s="9" t="str">
        <f>"4"</f>
        <v>4</v>
      </c>
      <c r="E12" s="9" t="str">
        <f>"5"</f>
        <v>5</v>
      </c>
      <c r="F12" s="9" t="str">
        <f>"6"</f>
        <v>6</v>
      </c>
      <c r="G12" s="9" t="str">
        <f>"7"</f>
        <v>7</v>
      </c>
      <c r="H12" s="9" t="str">
        <f>"8"</f>
        <v>8</v>
      </c>
      <c r="I12" s="9" t="str">
        <f>"9"</f>
        <v>9</v>
      </c>
      <c r="J12" s="9" t="str">
        <f>"10"</f>
        <v>10</v>
      </c>
      <c r="K12" s="9" t="str">
        <f>"11"</f>
        <v>11</v>
      </c>
      <c r="L12" s="9" t="str">
        <f>"12"</f>
        <v>12</v>
      </c>
      <c r="M12" s="9" t="str">
        <f>"13"</f>
        <v>13</v>
      </c>
      <c r="N12" s="9" t="str">
        <f>"14"</f>
        <v>14</v>
      </c>
      <c r="O12" s="19"/>
    </row>
    <row r="13" ht="168" customHeight="1" spans="1:15">
      <c r="A13" s="29" t="s">
        <v>5</v>
      </c>
      <c r="B13" s="11" t="str">
        <f>"Первый (№ 1)"</f>
        <v>Первый (№ 1)</v>
      </c>
      <c r="C13" s="11" t="str">
        <f>"Александров Михаил Викторович"</f>
        <v>Александров Михаил Викторович</v>
      </c>
      <c r="D13" s="12">
        <v>241.11</v>
      </c>
      <c r="E13" s="12"/>
      <c r="F13" s="11" t="str">
        <f t="shared" ref="F13:F34" si="14">""</f>
        <v/>
      </c>
      <c r="G13" s="12"/>
      <c r="H13" s="13"/>
      <c r="I13" s="12">
        <v>241.11</v>
      </c>
      <c r="J13" s="20" t="s">
        <v>6</v>
      </c>
      <c r="K13" s="12">
        <v>200</v>
      </c>
      <c r="L13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13" s="12"/>
      <c r="N13" s="11" t="str">
        <f t="shared" ref="N13:N76" si="15">""</f>
        <v/>
      </c>
      <c r="O13" s="19"/>
    </row>
    <row r="14" ht="30" customHeight="1" spans="1:15">
      <c r="A14" s="28" t="s">
        <v>7</v>
      </c>
      <c r="B14" s="14" t="str">
        <f>""</f>
        <v/>
      </c>
      <c r="C14" s="14" t="str">
        <f>"Итого по кандидату"</f>
        <v>Итого по кандидату</v>
      </c>
      <c r="D14" s="15">
        <v>241.11</v>
      </c>
      <c r="E14" s="15">
        <v>0</v>
      </c>
      <c r="F14" s="14" t="str">
        <f t="shared" si="14"/>
        <v/>
      </c>
      <c r="G14" s="15">
        <v>0</v>
      </c>
      <c r="H14" s="16"/>
      <c r="I14" s="15">
        <v>241.11</v>
      </c>
      <c r="J14" s="21"/>
      <c r="K14" s="15">
        <v>200</v>
      </c>
      <c r="L14" s="14" t="str">
        <f>""</f>
        <v/>
      </c>
      <c r="M14" s="15">
        <v>0</v>
      </c>
      <c r="N14" s="14" t="str">
        <f t="shared" si="15"/>
        <v/>
      </c>
      <c r="O14" s="19"/>
    </row>
    <row r="15" ht="60" customHeight="1" spans="1:15">
      <c r="A15" s="28" t="s">
        <v>7</v>
      </c>
      <c r="B15" s="14" t="str">
        <f>""</f>
        <v/>
      </c>
      <c r="C15" s="14" t="str">
        <f>"Избирательный округ (Первый (№ 1)), всего"</f>
        <v>Избирательный округ (Первый (№ 1)), всего</v>
      </c>
      <c r="D15" s="15">
        <v>241.11</v>
      </c>
      <c r="E15" s="15">
        <v>0</v>
      </c>
      <c r="F15" s="14" t="str">
        <f t="shared" si="14"/>
        <v/>
      </c>
      <c r="G15" s="15">
        <v>0</v>
      </c>
      <c r="H15" s="16"/>
      <c r="I15" s="15">
        <v>241.11</v>
      </c>
      <c r="J15" s="21"/>
      <c r="K15" s="15">
        <v>200</v>
      </c>
      <c r="L15" s="14" t="str">
        <f>""</f>
        <v/>
      </c>
      <c r="M15" s="15">
        <v>0</v>
      </c>
      <c r="N15" s="14" t="str">
        <f t="shared" si="15"/>
        <v/>
      </c>
      <c r="O15" s="19"/>
    </row>
    <row r="16" ht="45" customHeight="1" spans="1:15">
      <c r="A16" s="29" t="s">
        <v>8</v>
      </c>
      <c r="B16" s="11" t="str">
        <f>"Второй (№ 2)"</f>
        <v>Второй (№ 2)</v>
      </c>
      <c r="C16" s="11" t="str">
        <f>"Догонин Игорь Олегович"</f>
        <v>Догонин Игорь Олегович</v>
      </c>
      <c r="D16" s="12">
        <v>59.76</v>
      </c>
      <c r="E16" s="12"/>
      <c r="F16" s="11" t="str">
        <f t="shared" si="14"/>
        <v/>
      </c>
      <c r="G16" s="12"/>
      <c r="H16" s="13"/>
      <c r="I16" s="12">
        <v>59.76</v>
      </c>
      <c r="J16" s="20"/>
      <c r="K16" s="12"/>
      <c r="L16" s="11" t="str">
        <f>""</f>
        <v/>
      </c>
      <c r="M16" s="12"/>
      <c r="N16" s="11" t="str">
        <f t="shared" si="15"/>
        <v/>
      </c>
      <c r="O16" s="19"/>
    </row>
    <row r="17" ht="30" customHeight="1" spans="1:15">
      <c r="A17" s="28" t="s">
        <v>7</v>
      </c>
      <c r="B17" s="14" t="str">
        <f>""</f>
        <v/>
      </c>
      <c r="C17" s="14" t="str">
        <f>"Итого по кандидату"</f>
        <v>Итого по кандидату</v>
      </c>
      <c r="D17" s="15">
        <v>59.76</v>
      </c>
      <c r="E17" s="15">
        <v>0</v>
      </c>
      <c r="F17" s="14" t="str">
        <f t="shared" si="14"/>
        <v/>
      </c>
      <c r="G17" s="15">
        <v>0</v>
      </c>
      <c r="H17" s="16"/>
      <c r="I17" s="15">
        <v>59.76</v>
      </c>
      <c r="J17" s="21"/>
      <c r="K17" s="15">
        <v>0</v>
      </c>
      <c r="L17" s="14" t="str">
        <f>""</f>
        <v/>
      </c>
      <c r="M17" s="15">
        <v>0</v>
      </c>
      <c r="N17" s="14" t="str">
        <f t="shared" si="15"/>
        <v/>
      </c>
      <c r="O17" s="19"/>
    </row>
    <row r="18" ht="60" customHeight="1" spans="1:15">
      <c r="A18" s="28" t="s">
        <v>7</v>
      </c>
      <c r="B18" s="14" t="str">
        <f>""</f>
        <v/>
      </c>
      <c r="C18" s="14" t="str">
        <f>"Избирательный округ (Второй (№ 2)), всего"</f>
        <v>Избирательный округ (Второй (№ 2)), всего</v>
      </c>
      <c r="D18" s="15">
        <v>59.76</v>
      </c>
      <c r="E18" s="15">
        <v>0</v>
      </c>
      <c r="F18" s="14" t="str">
        <f t="shared" si="14"/>
        <v/>
      </c>
      <c r="G18" s="15">
        <v>0</v>
      </c>
      <c r="H18" s="16"/>
      <c r="I18" s="15">
        <v>59.76</v>
      </c>
      <c r="J18" s="21"/>
      <c r="K18" s="15">
        <v>0</v>
      </c>
      <c r="L18" s="14" t="str">
        <f>""</f>
        <v/>
      </c>
      <c r="M18" s="15">
        <v>0</v>
      </c>
      <c r="N18" s="14" t="str">
        <f t="shared" si="15"/>
        <v/>
      </c>
      <c r="O18" s="19"/>
    </row>
    <row r="19" ht="300" customHeight="1" spans="1:15">
      <c r="A19" s="29" t="s">
        <v>9</v>
      </c>
      <c r="B19" s="11" t="str">
        <f>"Третий (№ 3)"</f>
        <v>Третий (№ 3)</v>
      </c>
      <c r="C19" s="11" t="str">
        <f>"Клопова Ирина Анатольевна"</f>
        <v>Клопова Ирина Анатольевна</v>
      </c>
      <c r="D19" s="12">
        <v>277.76</v>
      </c>
      <c r="E19" s="12"/>
      <c r="F19" s="11" t="str">
        <f t="shared" si="14"/>
        <v/>
      </c>
      <c r="G19" s="12"/>
      <c r="H19" s="13"/>
      <c r="I19" s="12">
        <v>277.76</v>
      </c>
      <c r="J19" s="20" t="s">
        <v>6</v>
      </c>
      <c r="K19" s="12">
        <v>238</v>
      </c>
      <c r="L19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19" s="12"/>
      <c r="N19" s="11" t="str">
        <f t="shared" si="15"/>
        <v/>
      </c>
      <c r="O19" s="19"/>
    </row>
    <row r="20" ht="30" customHeight="1" spans="1:15">
      <c r="A20" s="28" t="s">
        <v>7</v>
      </c>
      <c r="B20" s="14" t="str">
        <f>""</f>
        <v/>
      </c>
      <c r="C20" s="14" t="str">
        <f>"Итого по кандидату"</f>
        <v>Итого по кандидату</v>
      </c>
      <c r="D20" s="15">
        <v>277.76</v>
      </c>
      <c r="E20" s="15">
        <v>0</v>
      </c>
      <c r="F20" s="14" t="str">
        <f t="shared" si="14"/>
        <v/>
      </c>
      <c r="G20" s="15">
        <v>0</v>
      </c>
      <c r="H20" s="16"/>
      <c r="I20" s="15">
        <v>277.76</v>
      </c>
      <c r="J20" s="21"/>
      <c r="K20" s="15">
        <v>238</v>
      </c>
      <c r="L20" s="14" t="str">
        <f>""</f>
        <v/>
      </c>
      <c r="M20" s="15">
        <v>0</v>
      </c>
      <c r="N20" s="14" t="str">
        <f t="shared" si="15"/>
        <v/>
      </c>
      <c r="O20" s="19"/>
    </row>
    <row r="21" ht="60" customHeight="1" spans="1:15">
      <c r="A21" s="28" t="s">
        <v>7</v>
      </c>
      <c r="B21" s="14" t="str">
        <f>""</f>
        <v/>
      </c>
      <c r="C21" s="14" t="str">
        <f>"Избирательный округ (Третий (№ 3)), всего"</f>
        <v>Избирательный округ (Третий (№ 3)), всего</v>
      </c>
      <c r="D21" s="15">
        <v>277.76</v>
      </c>
      <c r="E21" s="15">
        <v>0</v>
      </c>
      <c r="F21" s="14" t="str">
        <f t="shared" si="14"/>
        <v/>
      </c>
      <c r="G21" s="15">
        <v>0</v>
      </c>
      <c r="H21" s="16"/>
      <c r="I21" s="15">
        <v>277.76</v>
      </c>
      <c r="J21" s="21"/>
      <c r="K21" s="15">
        <v>238</v>
      </c>
      <c r="L21" s="14" t="str">
        <f>""</f>
        <v/>
      </c>
      <c r="M21" s="15">
        <v>0</v>
      </c>
      <c r="N21" s="14" t="str">
        <f t="shared" si="15"/>
        <v/>
      </c>
      <c r="O21" s="19"/>
    </row>
    <row r="22" ht="60" customHeight="1" spans="1:15">
      <c r="A22" s="29" t="s">
        <v>10</v>
      </c>
      <c r="B22" s="11" t="str">
        <f>"Четвертый (№ 4)"</f>
        <v>Четвертый (№ 4)</v>
      </c>
      <c r="C22" s="11" t="str">
        <f>"Бутылин Денис Александрович"</f>
        <v>Бутылин Денис Александрович</v>
      </c>
      <c r="D22" s="12">
        <v>70</v>
      </c>
      <c r="E22" s="12"/>
      <c r="F22" s="11" t="str">
        <f t="shared" si="14"/>
        <v/>
      </c>
      <c r="G22" s="12"/>
      <c r="H22" s="13"/>
      <c r="I22" s="12">
        <v>79</v>
      </c>
      <c r="J22" s="20"/>
      <c r="K22" s="12"/>
      <c r="L22" s="11" t="str">
        <f>""</f>
        <v/>
      </c>
      <c r="M22" s="12"/>
      <c r="N22" s="11" t="str">
        <f t="shared" si="15"/>
        <v/>
      </c>
      <c r="O22" s="19"/>
    </row>
    <row r="23" ht="30" customHeight="1" spans="1:15">
      <c r="A23" s="28" t="s">
        <v>7</v>
      </c>
      <c r="B23" s="14" t="str">
        <f>""</f>
        <v/>
      </c>
      <c r="C23" s="14" t="str">
        <f>"Итого по кандидату"</f>
        <v>Итого по кандидату</v>
      </c>
      <c r="D23" s="15">
        <v>70</v>
      </c>
      <c r="E23" s="15">
        <v>0</v>
      </c>
      <c r="F23" s="14" t="str">
        <f t="shared" si="14"/>
        <v/>
      </c>
      <c r="G23" s="15">
        <v>0</v>
      </c>
      <c r="H23" s="16"/>
      <c r="I23" s="15">
        <v>79</v>
      </c>
      <c r="J23" s="21"/>
      <c r="K23" s="15">
        <v>0</v>
      </c>
      <c r="L23" s="14" t="str">
        <f>""</f>
        <v/>
      </c>
      <c r="M23" s="15">
        <v>0</v>
      </c>
      <c r="N23" s="14" t="str">
        <f t="shared" si="15"/>
        <v/>
      </c>
      <c r="O23" s="19"/>
    </row>
    <row r="24" ht="300" customHeight="1" spans="1:15">
      <c r="A24" s="29" t="s">
        <v>11</v>
      </c>
      <c r="B24" s="11" t="str">
        <f>"Четвертый (№ 4)"</f>
        <v>Четвертый (№ 4)</v>
      </c>
      <c r="C24" s="11" t="str">
        <f>"Краснова Ирина Александровна"</f>
        <v>Краснова Ирина Александровна</v>
      </c>
      <c r="D24" s="12">
        <v>141.25</v>
      </c>
      <c r="E24" s="12"/>
      <c r="F24" s="11" t="str">
        <f t="shared" si="14"/>
        <v/>
      </c>
      <c r="G24" s="12"/>
      <c r="H24" s="13"/>
      <c r="I24" s="12">
        <v>141.25</v>
      </c>
      <c r="J24" s="20" t="s">
        <v>12</v>
      </c>
      <c r="K24" s="12">
        <v>66.36</v>
      </c>
      <c r="L24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24" s="12"/>
      <c r="N24" s="11" t="str">
        <f t="shared" si="15"/>
        <v/>
      </c>
      <c r="O24" s="19"/>
    </row>
    <row r="25" ht="30" customHeight="1" spans="1:15">
      <c r="A25" s="28" t="s">
        <v>7</v>
      </c>
      <c r="B25" s="14" t="str">
        <f>""</f>
        <v/>
      </c>
      <c r="C25" s="14" t="str">
        <f>"Итого по кандидату"</f>
        <v>Итого по кандидату</v>
      </c>
      <c r="D25" s="15">
        <v>141.25</v>
      </c>
      <c r="E25" s="15">
        <v>0</v>
      </c>
      <c r="F25" s="14" t="str">
        <f t="shared" si="14"/>
        <v/>
      </c>
      <c r="G25" s="15">
        <v>0</v>
      </c>
      <c r="H25" s="16"/>
      <c r="I25" s="15">
        <v>141.25</v>
      </c>
      <c r="J25" s="21"/>
      <c r="K25" s="15">
        <v>66.36</v>
      </c>
      <c r="L25" s="14" t="str">
        <f>""</f>
        <v/>
      </c>
      <c r="M25" s="15">
        <v>0</v>
      </c>
      <c r="N25" s="14" t="str">
        <f t="shared" si="15"/>
        <v/>
      </c>
      <c r="O25" s="19"/>
    </row>
    <row r="26" ht="75" customHeight="1" spans="1:15">
      <c r="A26" s="28" t="s">
        <v>7</v>
      </c>
      <c r="B26" s="14" t="str">
        <f>""</f>
        <v/>
      </c>
      <c r="C26" s="14" t="str">
        <f>"Избирательный округ (Четвертый (№ 4)), всего"</f>
        <v>Избирательный округ (Четвертый (№ 4)), всего</v>
      </c>
      <c r="D26" s="15">
        <v>211.25</v>
      </c>
      <c r="E26" s="15">
        <v>0</v>
      </c>
      <c r="F26" s="14" t="str">
        <f t="shared" si="14"/>
        <v/>
      </c>
      <c r="G26" s="15">
        <v>0</v>
      </c>
      <c r="H26" s="16"/>
      <c r="I26" s="15">
        <v>220.25</v>
      </c>
      <c r="J26" s="21"/>
      <c r="K26" s="15">
        <v>66.36</v>
      </c>
      <c r="L26" s="14" t="str">
        <f>""</f>
        <v/>
      </c>
      <c r="M26" s="15">
        <v>0</v>
      </c>
      <c r="N26" s="14" t="str">
        <f t="shared" si="15"/>
        <v/>
      </c>
      <c r="O26" s="19"/>
    </row>
    <row r="27" ht="180" customHeight="1" spans="1:15">
      <c r="A27" s="29" t="s">
        <v>13</v>
      </c>
      <c r="B27" s="11" t="str">
        <f>"Пятый (№ 5)"</f>
        <v>Пятый (№ 5)</v>
      </c>
      <c r="C27" s="11" t="str">
        <f>"Рачков Дмитрий Владимирович"</f>
        <v>Рачков Дмитрий Владимирович</v>
      </c>
      <c r="D27" s="12">
        <v>259.76</v>
      </c>
      <c r="E27" s="12"/>
      <c r="F27" s="11" t="str">
        <f t="shared" si="14"/>
        <v/>
      </c>
      <c r="G27" s="12"/>
      <c r="H27" s="13"/>
      <c r="I27" s="12">
        <v>259.76</v>
      </c>
      <c r="J27" s="20" t="s">
        <v>12</v>
      </c>
      <c r="K27" s="12">
        <v>220</v>
      </c>
      <c r="L27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27" s="12"/>
      <c r="N27" s="11" t="str">
        <f t="shared" si="15"/>
        <v/>
      </c>
      <c r="O27" s="19"/>
    </row>
    <row r="28" ht="30" customHeight="1" spans="1:15">
      <c r="A28" s="28" t="s">
        <v>7</v>
      </c>
      <c r="B28" s="14" t="str">
        <f>""</f>
        <v/>
      </c>
      <c r="C28" s="14" t="str">
        <f>"Итого по кандидату"</f>
        <v>Итого по кандидату</v>
      </c>
      <c r="D28" s="15">
        <v>259.76</v>
      </c>
      <c r="E28" s="15">
        <v>0</v>
      </c>
      <c r="F28" s="14" t="str">
        <f t="shared" si="14"/>
        <v/>
      </c>
      <c r="G28" s="15">
        <v>0</v>
      </c>
      <c r="H28" s="16"/>
      <c r="I28" s="15">
        <v>259.76</v>
      </c>
      <c r="J28" s="21"/>
      <c r="K28" s="15">
        <v>220</v>
      </c>
      <c r="L28" s="14" t="str">
        <f>""</f>
        <v/>
      </c>
      <c r="M28" s="15">
        <v>0</v>
      </c>
      <c r="N28" s="14" t="str">
        <f t="shared" si="15"/>
        <v/>
      </c>
      <c r="O28" s="19"/>
    </row>
    <row r="29" ht="60" customHeight="1" spans="1:15">
      <c r="A29" s="28" t="s">
        <v>7</v>
      </c>
      <c r="B29" s="14" t="str">
        <f>""</f>
        <v/>
      </c>
      <c r="C29" s="14" t="str">
        <f>"Избирательный округ (Пятый (№ 5)), всего"</f>
        <v>Избирательный округ (Пятый (№ 5)), всего</v>
      </c>
      <c r="D29" s="15">
        <v>259.76</v>
      </c>
      <c r="E29" s="15">
        <v>0</v>
      </c>
      <c r="F29" s="14" t="str">
        <f t="shared" si="14"/>
        <v/>
      </c>
      <c r="G29" s="15">
        <v>0</v>
      </c>
      <c r="H29" s="16"/>
      <c r="I29" s="15">
        <v>259.76</v>
      </c>
      <c r="J29" s="21"/>
      <c r="K29" s="15">
        <v>220</v>
      </c>
      <c r="L29" s="14" t="str">
        <f>""</f>
        <v/>
      </c>
      <c r="M29" s="15">
        <v>0</v>
      </c>
      <c r="N29" s="14" t="str">
        <f t="shared" si="15"/>
        <v/>
      </c>
      <c r="O29" s="19"/>
    </row>
    <row r="30" ht="163.5" customHeight="1" spans="1:15">
      <c r="A30" s="29" t="s">
        <v>14</v>
      </c>
      <c r="B30" s="11" t="str">
        <f>"Шестой (№ 6)"</f>
        <v>Шестой (№ 6)</v>
      </c>
      <c r="C30" s="11" t="str">
        <f>"Гусев Алексей Викторович"</f>
        <v>Гусев Алексей Викторович</v>
      </c>
      <c r="D30" s="12">
        <v>100</v>
      </c>
      <c r="E30" s="12"/>
      <c r="F30" s="11" t="str">
        <f t="shared" si="14"/>
        <v/>
      </c>
      <c r="G30" s="12">
        <v>70</v>
      </c>
      <c r="H30" s="13">
        <v>1</v>
      </c>
      <c r="I30" s="12">
        <v>100</v>
      </c>
      <c r="J30" s="20" t="s">
        <v>15</v>
      </c>
      <c r="K30" s="12">
        <v>60.24</v>
      </c>
      <c r="L30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30" s="12"/>
      <c r="N30" s="11" t="str">
        <f t="shared" si="15"/>
        <v/>
      </c>
      <c r="O30" s="19"/>
    </row>
    <row r="31" ht="30" customHeight="1" spans="1:15">
      <c r="A31" s="28" t="s">
        <v>7</v>
      </c>
      <c r="B31" s="14" t="str">
        <f>""</f>
        <v/>
      </c>
      <c r="C31" s="14" t="str">
        <f>"Итого по кандидату"</f>
        <v>Итого по кандидату</v>
      </c>
      <c r="D31" s="15">
        <v>100</v>
      </c>
      <c r="E31" s="15">
        <v>0</v>
      </c>
      <c r="F31" s="14" t="str">
        <f t="shared" si="14"/>
        <v/>
      </c>
      <c r="G31" s="15">
        <v>70</v>
      </c>
      <c r="H31" s="16"/>
      <c r="I31" s="15">
        <v>100</v>
      </c>
      <c r="J31" s="21"/>
      <c r="K31" s="15">
        <v>60.24</v>
      </c>
      <c r="L31" s="14" t="str">
        <f t="shared" ref="L31:L48" si="16">""</f>
        <v/>
      </c>
      <c r="M31" s="15">
        <v>0</v>
      </c>
      <c r="N31" s="14" t="str">
        <f t="shared" si="15"/>
        <v/>
      </c>
      <c r="O31" s="19"/>
    </row>
    <row r="32" ht="60" customHeight="1" spans="1:15">
      <c r="A32" s="28" t="s">
        <v>7</v>
      </c>
      <c r="B32" s="14" t="str">
        <f>""</f>
        <v/>
      </c>
      <c r="C32" s="14" t="str">
        <f>"Избирательный округ (Шестой (№ 6)), всего"</f>
        <v>Избирательный округ (Шестой (№ 6)), всего</v>
      </c>
      <c r="D32" s="15">
        <v>100</v>
      </c>
      <c r="E32" s="15">
        <v>0</v>
      </c>
      <c r="F32" s="14" t="str">
        <f t="shared" si="14"/>
        <v/>
      </c>
      <c r="G32" s="15">
        <v>70</v>
      </c>
      <c r="H32" s="16"/>
      <c r="I32" s="15">
        <v>100</v>
      </c>
      <c r="J32" s="21"/>
      <c r="K32" s="15">
        <v>60.24</v>
      </c>
      <c r="L32" s="14" t="str">
        <f t="shared" si="16"/>
        <v/>
      </c>
      <c r="M32" s="15">
        <v>0</v>
      </c>
      <c r="N32" s="14" t="str">
        <f t="shared" si="15"/>
        <v/>
      </c>
      <c r="O32" s="19"/>
    </row>
    <row r="33" ht="45" customHeight="1" spans="1:15">
      <c r="A33" s="29" t="s">
        <v>16</v>
      </c>
      <c r="B33" s="11" t="str">
        <f>"Седьмой (№ 7)"</f>
        <v>Седьмой (№ 7)</v>
      </c>
      <c r="C33" s="11" t="str">
        <f>"Иванов Юрий Валерьевич"</f>
        <v>Иванов Юрий Валерьевич</v>
      </c>
      <c r="D33" s="12">
        <v>40</v>
      </c>
      <c r="E33" s="12"/>
      <c r="F33" s="11" t="str">
        <f t="shared" si="14"/>
        <v/>
      </c>
      <c r="G33" s="12"/>
      <c r="H33" s="13"/>
      <c r="I33" s="12">
        <v>44</v>
      </c>
      <c r="J33" s="20"/>
      <c r="K33" s="12"/>
      <c r="L33" s="11" t="str">
        <f t="shared" si="16"/>
        <v/>
      </c>
      <c r="M33" s="12"/>
      <c r="N33" s="11" t="str">
        <f t="shared" si="15"/>
        <v/>
      </c>
      <c r="O33" s="19"/>
    </row>
    <row r="34" ht="30" customHeight="1" spans="1:15">
      <c r="A34" s="28" t="s">
        <v>7</v>
      </c>
      <c r="B34" s="14" t="str">
        <f>""</f>
        <v/>
      </c>
      <c r="C34" s="14" t="str">
        <f>"Итого по кандидату"</f>
        <v>Итого по кандидату</v>
      </c>
      <c r="D34" s="15">
        <v>40</v>
      </c>
      <c r="E34" s="15">
        <v>0</v>
      </c>
      <c r="F34" s="14" t="str">
        <f t="shared" si="14"/>
        <v/>
      </c>
      <c r="G34" s="15">
        <v>0</v>
      </c>
      <c r="H34" s="16"/>
      <c r="I34" s="15">
        <v>44</v>
      </c>
      <c r="J34" s="21"/>
      <c r="K34" s="15">
        <v>0</v>
      </c>
      <c r="L34" s="14" t="str">
        <f t="shared" si="16"/>
        <v/>
      </c>
      <c r="M34" s="15">
        <v>0</v>
      </c>
      <c r="N34" s="14" t="str">
        <f t="shared" si="15"/>
        <v/>
      </c>
      <c r="O34" s="19"/>
    </row>
    <row r="35" ht="45" customHeight="1" spans="1:15">
      <c r="A35" s="29" t="s">
        <v>17</v>
      </c>
      <c r="B35" s="11" t="str">
        <f>"Седьмой (№ 7)"</f>
        <v>Седьмой (№ 7)</v>
      </c>
      <c r="C35" s="11" t="str">
        <f>"Сидорова Юлия Николаевна"</f>
        <v>Сидорова Юлия Николаевна</v>
      </c>
      <c r="D35" s="12">
        <v>297.25</v>
      </c>
      <c r="E35" s="12">
        <v>297.25</v>
      </c>
      <c r="F35" s="11" t="str">
        <f>"ОАО ""ЗИД"""</f>
        <v>ОАО "ЗИД"</v>
      </c>
      <c r="G35" s="12"/>
      <c r="H35" s="13"/>
      <c r="I35" s="12">
        <v>164.46</v>
      </c>
      <c r="J35" s="20"/>
      <c r="K35" s="12"/>
      <c r="L35" s="11" t="str">
        <f t="shared" si="16"/>
        <v/>
      </c>
      <c r="M35" s="12"/>
      <c r="N35" s="11" t="str">
        <f t="shared" si="15"/>
        <v/>
      </c>
      <c r="O35" s="19"/>
    </row>
    <row r="36" ht="30" customHeight="1" spans="1:15">
      <c r="A36" s="28" t="s">
        <v>7</v>
      </c>
      <c r="B36" s="14" t="str">
        <f>""</f>
        <v/>
      </c>
      <c r="C36" s="14" t="str">
        <f>"Итого по кандидату"</f>
        <v>Итого по кандидату</v>
      </c>
      <c r="D36" s="15">
        <v>297.25</v>
      </c>
      <c r="E36" s="15">
        <v>297.25</v>
      </c>
      <c r="F36" s="14" t="str">
        <f t="shared" ref="F36:F42" si="17">""</f>
        <v/>
      </c>
      <c r="G36" s="15">
        <v>0</v>
      </c>
      <c r="H36" s="16"/>
      <c r="I36" s="15">
        <v>164.46</v>
      </c>
      <c r="J36" s="21"/>
      <c r="K36" s="15">
        <v>0</v>
      </c>
      <c r="L36" s="14" t="str">
        <f t="shared" si="16"/>
        <v/>
      </c>
      <c r="M36" s="15">
        <v>0</v>
      </c>
      <c r="N36" s="14" t="str">
        <f t="shared" si="15"/>
        <v/>
      </c>
      <c r="O36" s="19"/>
    </row>
    <row r="37" ht="75" customHeight="1" spans="1:15">
      <c r="A37" s="28" t="s">
        <v>7</v>
      </c>
      <c r="B37" s="14" t="str">
        <f>""</f>
        <v/>
      </c>
      <c r="C37" s="14" t="str">
        <f>"Избирательный округ (Седьмой (№ 7)), всего"</f>
        <v>Избирательный округ (Седьмой (№ 7)), всего</v>
      </c>
      <c r="D37" s="15">
        <v>337.25</v>
      </c>
      <c r="E37" s="15">
        <v>297.25</v>
      </c>
      <c r="F37" s="14" t="str">
        <f t="shared" si="17"/>
        <v/>
      </c>
      <c r="G37" s="15">
        <v>0</v>
      </c>
      <c r="H37" s="16"/>
      <c r="I37" s="15">
        <v>208.46</v>
      </c>
      <c r="J37" s="21"/>
      <c r="K37" s="15">
        <v>0</v>
      </c>
      <c r="L37" s="14" t="str">
        <f t="shared" si="16"/>
        <v/>
      </c>
      <c r="M37" s="15">
        <v>0</v>
      </c>
      <c r="N37" s="14" t="str">
        <f t="shared" si="15"/>
        <v/>
      </c>
      <c r="O37" s="19"/>
    </row>
    <row r="38" ht="60" customHeight="1" spans="1:15">
      <c r="A38" s="29" t="s">
        <v>18</v>
      </c>
      <c r="B38" s="11" t="str">
        <f>"Восьмой (№ 8)"</f>
        <v>Восьмой (№ 8)</v>
      </c>
      <c r="C38" s="11" t="str">
        <f>"Багаева Татьяна Александровна"</f>
        <v>Багаева Татьяна Александровна</v>
      </c>
      <c r="D38" s="12">
        <v>54.56</v>
      </c>
      <c r="E38" s="12"/>
      <c r="F38" s="11" t="str">
        <f t="shared" si="17"/>
        <v/>
      </c>
      <c r="G38" s="12"/>
      <c r="H38" s="13"/>
      <c r="I38" s="12">
        <v>54.56</v>
      </c>
      <c r="J38" s="20"/>
      <c r="K38" s="12"/>
      <c r="L38" s="11" t="str">
        <f t="shared" si="16"/>
        <v/>
      </c>
      <c r="M38" s="12"/>
      <c r="N38" s="11" t="str">
        <f t="shared" si="15"/>
        <v/>
      </c>
      <c r="O38" s="19"/>
    </row>
    <row r="39" ht="30" customHeight="1" spans="1:15">
      <c r="A39" s="28" t="s">
        <v>7</v>
      </c>
      <c r="B39" s="14" t="str">
        <f>""</f>
        <v/>
      </c>
      <c r="C39" s="14" t="str">
        <f>"Итого по кандидату"</f>
        <v>Итого по кандидату</v>
      </c>
      <c r="D39" s="15">
        <v>54.56</v>
      </c>
      <c r="E39" s="15">
        <v>0</v>
      </c>
      <c r="F39" s="14" t="str">
        <f t="shared" si="17"/>
        <v/>
      </c>
      <c r="G39" s="15">
        <v>0</v>
      </c>
      <c r="H39" s="16"/>
      <c r="I39" s="15">
        <v>54.56</v>
      </c>
      <c r="J39" s="21"/>
      <c r="K39" s="15">
        <v>0</v>
      </c>
      <c r="L39" s="14" t="str">
        <f t="shared" si="16"/>
        <v/>
      </c>
      <c r="M39" s="15">
        <v>0</v>
      </c>
      <c r="N39" s="14" t="str">
        <f t="shared" si="15"/>
        <v/>
      </c>
      <c r="O39" s="19"/>
    </row>
    <row r="40" ht="75" customHeight="1" spans="1:15">
      <c r="A40" s="28" t="s">
        <v>7</v>
      </c>
      <c r="B40" s="14" t="str">
        <f>""</f>
        <v/>
      </c>
      <c r="C40" s="14" t="str">
        <f>"Избирательный округ (Восьмой (№ 8)), всего"</f>
        <v>Избирательный округ (Восьмой (№ 8)), всего</v>
      </c>
      <c r="D40" s="15">
        <v>54.56</v>
      </c>
      <c r="E40" s="15">
        <v>0</v>
      </c>
      <c r="F40" s="14" t="str">
        <f t="shared" si="17"/>
        <v/>
      </c>
      <c r="G40" s="15">
        <v>0</v>
      </c>
      <c r="H40" s="16"/>
      <c r="I40" s="15">
        <v>54.56</v>
      </c>
      <c r="J40" s="21"/>
      <c r="K40" s="15">
        <v>0</v>
      </c>
      <c r="L40" s="14" t="str">
        <f t="shared" si="16"/>
        <v/>
      </c>
      <c r="M40" s="15">
        <v>0</v>
      </c>
      <c r="N40" s="14" t="str">
        <f t="shared" si="15"/>
        <v/>
      </c>
      <c r="O40" s="19"/>
    </row>
    <row r="41" ht="60" customHeight="1" spans="1:15">
      <c r="A41" s="29" t="s">
        <v>19</v>
      </c>
      <c r="B41" s="11" t="str">
        <f>"Девятый (№ 9)"</f>
        <v>Девятый (№ 9)</v>
      </c>
      <c r="C41" s="11" t="str">
        <f>"Бодрова Дарья Владимировна"</f>
        <v>Бодрова Дарья Владимировна</v>
      </c>
      <c r="D41" s="12">
        <v>4.7</v>
      </c>
      <c r="E41" s="12"/>
      <c r="F41" s="11" t="str">
        <f t="shared" si="17"/>
        <v/>
      </c>
      <c r="G41" s="12"/>
      <c r="H41" s="13"/>
      <c r="I41" s="12">
        <v>4.7</v>
      </c>
      <c r="J41" s="20"/>
      <c r="K41" s="12"/>
      <c r="L41" s="11" t="str">
        <f t="shared" si="16"/>
        <v/>
      </c>
      <c r="M41" s="12"/>
      <c r="N41" s="11" t="str">
        <f t="shared" si="15"/>
        <v/>
      </c>
      <c r="O41" s="19"/>
    </row>
    <row r="42" ht="30" customHeight="1" spans="1:15">
      <c r="A42" s="28" t="s">
        <v>7</v>
      </c>
      <c r="B42" s="14" t="str">
        <f>""</f>
        <v/>
      </c>
      <c r="C42" s="14" t="str">
        <f>"Итого по кандидату"</f>
        <v>Итого по кандидату</v>
      </c>
      <c r="D42" s="15">
        <v>4.7</v>
      </c>
      <c r="E42" s="15">
        <v>0</v>
      </c>
      <c r="F42" s="14" t="str">
        <f t="shared" si="17"/>
        <v/>
      </c>
      <c r="G42" s="15">
        <v>0</v>
      </c>
      <c r="H42" s="16"/>
      <c r="I42" s="15">
        <v>4.7</v>
      </c>
      <c r="J42" s="21"/>
      <c r="K42" s="15">
        <v>0</v>
      </c>
      <c r="L42" s="14" t="str">
        <f t="shared" si="16"/>
        <v/>
      </c>
      <c r="M42" s="15">
        <v>0</v>
      </c>
      <c r="N42" s="14" t="str">
        <f t="shared" si="15"/>
        <v/>
      </c>
      <c r="O42" s="19"/>
    </row>
    <row r="43" ht="45" customHeight="1" spans="1:15">
      <c r="A43" s="29" t="s">
        <v>20</v>
      </c>
      <c r="B43" s="11" t="str">
        <f>"Девятый (№ 9)"</f>
        <v>Девятый (№ 9)</v>
      </c>
      <c r="C43" s="11" t="str">
        <f>"Рябиков Роман Вадимович"</f>
        <v>Рябиков Роман Вадимович</v>
      </c>
      <c r="D43" s="12">
        <v>297.25</v>
      </c>
      <c r="E43" s="12">
        <v>297.25</v>
      </c>
      <c r="F43" s="11" t="str">
        <f>"ОАО ""ЗИД"""</f>
        <v>ОАО "ЗИД"</v>
      </c>
      <c r="G43" s="12"/>
      <c r="H43" s="13"/>
      <c r="I43" s="12">
        <v>164.46</v>
      </c>
      <c r="J43" s="20"/>
      <c r="K43" s="12"/>
      <c r="L43" s="11" t="str">
        <f t="shared" si="16"/>
        <v/>
      </c>
      <c r="M43" s="12"/>
      <c r="N43" s="11" t="str">
        <f t="shared" si="15"/>
        <v/>
      </c>
      <c r="O43" s="19"/>
    </row>
    <row r="44" ht="30" customHeight="1" spans="1:15">
      <c r="A44" s="28" t="s">
        <v>7</v>
      </c>
      <c r="B44" s="14" t="str">
        <f>""</f>
        <v/>
      </c>
      <c r="C44" s="14" t="str">
        <f>"Итого по кандидату"</f>
        <v>Итого по кандидату</v>
      </c>
      <c r="D44" s="15">
        <v>297.25</v>
      </c>
      <c r="E44" s="15">
        <v>297.25</v>
      </c>
      <c r="F44" s="14" t="str">
        <f t="shared" ref="F44:F53" si="18">""</f>
        <v/>
      </c>
      <c r="G44" s="15">
        <v>0</v>
      </c>
      <c r="H44" s="16"/>
      <c r="I44" s="15">
        <v>164.46</v>
      </c>
      <c r="J44" s="21"/>
      <c r="K44" s="15">
        <v>0</v>
      </c>
      <c r="L44" s="14" t="str">
        <f t="shared" si="16"/>
        <v/>
      </c>
      <c r="M44" s="15">
        <v>0</v>
      </c>
      <c r="N44" s="14" t="str">
        <f t="shared" si="15"/>
        <v/>
      </c>
      <c r="O44" s="19"/>
    </row>
    <row r="45" ht="75" customHeight="1" spans="1:15">
      <c r="A45" s="28" t="s">
        <v>7</v>
      </c>
      <c r="B45" s="14" t="str">
        <f>""</f>
        <v/>
      </c>
      <c r="C45" s="14" t="str">
        <f>"Избирательный округ (Девятый (№ 9)), всего"</f>
        <v>Избирательный округ (Девятый (№ 9)), всего</v>
      </c>
      <c r="D45" s="15">
        <v>301.95</v>
      </c>
      <c r="E45" s="15">
        <v>297.25</v>
      </c>
      <c r="F45" s="14" t="str">
        <f t="shared" si="18"/>
        <v/>
      </c>
      <c r="G45" s="15">
        <v>0</v>
      </c>
      <c r="H45" s="16"/>
      <c r="I45" s="15">
        <v>169.15</v>
      </c>
      <c r="J45" s="21"/>
      <c r="K45" s="15">
        <v>0</v>
      </c>
      <c r="L45" s="14" t="str">
        <f t="shared" si="16"/>
        <v/>
      </c>
      <c r="M45" s="15">
        <v>0</v>
      </c>
      <c r="N45" s="14" t="str">
        <f t="shared" si="15"/>
        <v/>
      </c>
      <c r="O45" s="19"/>
    </row>
    <row r="46" ht="45" customHeight="1" spans="1:15">
      <c r="A46" s="29" t="s">
        <v>21</v>
      </c>
      <c r="B46" s="11" t="str">
        <f>"Десятый (№ 10)"</f>
        <v>Десятый (№ 10)</v>
      </c>
      <c r="C46" s="11" t="str">
        <f>"Некрасов Андрей Николаевич"</f>
        <v>Некрасов Андрей Николаевич</v>
      </c>
      <c r="D46" s="12">
        <v>99</v>
      </c>
      <c r="E46" s="12"/>
      <c r="F46" s="11" t="str">
        <f t="shared" si="18"/>
        <v/>
      </c>
      <c r="G46" s="12"/>
      <c r="H46" s="13"/>
      <c r="I46" s="12">
        <v>99</v>
      </c>
      <c r="J46" s="20"/>
      <c r="K46" s="12"/>
      <c r="L46" s="11" t="str">
        <f t="shared" si="16"/>
        <v/>
      </c>
      <c r="M46" s="12"/>
      <c r="N46" s="11" t="str">
        <f t="shared" si="15"/>
        <v/>
      </c>
      <c r="O46" s="19"/>
    </row>
    <row r="47" ht="30" customHeight="1" spans="1:15">
      <c r="A47" s="28" t="s">
        <v>7</v>
      </c>
      <c r="B47" s="14" t="str">
        <f>""</f>
        <v/>
      </c>
      <c r="C47" s="14" t="str">
        <f>"Итого по кандидату"</f>
        <v>Итого по кандидату</v>
      </c>
      <c r="D47" s="15">
        <v>99</v>
      </c>
      <c r="E47" s="15">
        <v>0</v>
      </c>
      <c r="F47" s="14" t="str">
        <f t="shared" si="18"/>
        <v/>
      </c>
      <c r="G47" s="15">
        <v>0</v>
      </c>
      <c r="H47" s="16"/>
      <c r="I47" s="15">
        <v>99</v>
      </c>
      <c r="J47" s="21"/>
      <c r="K47" s="15">
        <v>0</v>
      </c>
      <c r="L47" s="14" t="str">
        <f t="shared" si="16"/>
        <v/>
      </c>
      <c r="M47" s="15">
        <v>0</v>
      </c>
      <c r="N47" s="14" t="str">
        <f t="shared" si="15"/>
        <v/>
      </c>
      <c r="O47" s="19"/>
    </row>
    <row r="48" ht="75" customHeight="1" spans="1:15">
      <c r="A48" s="28" t="s">
        <v>7</v>
      </c>
      <c r="B48" s="14" t="str">
        <f>""</f>
        <v/>
      </c>
      <c r="C48" s="14" t="str">
        <f>"Избирательный округ (Десятый (№ 10)), всего"</f>
        <v>Избирательный округ (Десятый (№ 10)), всего</v>
      </c>
      <c r="D48" s="15">
        <v>99</v>
      </c>
      <c r="E48" s="15">
        <v>0</v>
      </c>
      <c r="F48" s="14" t="str">
        <f t="shared" si="18"/>
        <v/>
      </c>
      <c r="G48" s="15">
        <v>0</v>
      </c>
      <c r="H48" s="16"/>
      <c r="I48" s="15">
        <v>99</v>
      </c>
      <c r="J48" s="21"/>
      <c r="K48" s="15">
        <v>0</v>
      </c>
      <c r="L48" s="14" t="str">
        <f t="shared" si="16"/>
        <v/>
      </c>
      <c r="M48" s="15">
        <v>0</v>
      </c>
      <c r="N48" s="14" t="str">
        <f t="shared" si="15"/>
        <v/>
      </c>
      <c r="O48" s="19"/>
    </row>
    <row r="49" ht="147.75" customHeight="1" spans="1:15">
      <c r="A49" s="29" t="s">
        <v>22</v>
      </c>
      <c r="B49" s="11" t="str">
        <f>"Одиннадцатый (№ 11)"</f>
        <v>Одиннадцатый (№ 11)</v>
      </c>
      <c r="C49" s="11" t="str">
        <f>"Фомина Елена Владимировна"</f>
        <v>Фомина Елена Владимировна</v>
      </c>
      <c r="D49" s="12">
        <v>105.21</v>
      </c>
      <c r="E49" s="12"/>
      <c r="F49" s="11" t="str">
        <f t="shared" si="18"/>
        <v/>
      </c>
      <c r="G49" s="12"/>
      <c r="H49" s="13"/>
      <c r="I49" s="12">
        <v>105.21</v>
      </c>
      <c r="J49" s="20" t="s">
        <v>6</v>
      </c>
      <c r="K49" s="12">
        <v>61.53</v>
      </c>
      <c r="L49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49" s="12"/>
      <c r="N49" s="11" t="str">
        <f t="shared" si="15"/>
        <v/>
      </c>
      <c r="O49" s="19"/>
    </row>
    <row r="50" ht="30" customHeight="1" spans="1:15">
      <c r="A50" s="28" t="s">
        <v>7</v>
      </c>
      <c r="B50" s="14" t="str">
        <f>""</f>
        <v/>
      </c>
      <c r="C50" s="14" t="str">
        <f>"Итого по кандидату"</f>
        <v>Итого по кандидату</v>
      </c>
      <c r="D50" s="15">
        <v>105.21</v>
      </c>
      <c r="E50" s="15">
        <v>0</v>
      </c>
      <c r="F50" s="14" t="str">
        <f t="shared" si="18"/>
        <v/>
      </c>
      <c r="G50" s="15">
        <v>0</v>
      </c>
      <c r="H50" s="16"/>
      <c r="I50" s="15">
        <v>105.21</v>
      </c>
      <c r="J50" s="21"/>
      <c r="K50" s="15">
        <v>61.53</v>
      </c>
      <c r="L50" s="14" t="str">
        <f t="shared" ref="L50:L71" si="19">""</f>
        <v/>
      </c>
      <c r="M50" s="15">
        <v>0</v>
      </c>
      <c r="N50" s="14" t="str">
        <f t="shared" si="15"/>
        <v/>
      </c>
      <c r="O50" s="19"/>
    </row>
    <row r="51" ht="75" customHeight="1" spans="1:15">
      <c r="A51" s="28" t="s">
        <v>7</v>
      </c>
      <c r="B51" s="14" t="str">
        <f>""</f>
        <v/>
      </c>
      <c r="C51" s="14" t="str">
        <f>"Избирательный округ (Одиннадцатый (№ 11)), всего"</f>
        <v>Избирательный округ (Одиннадцатый (№ 11)), всего</v>
      </c>
      <c r="D51" s="15">
        <v>105.21</v>
      </c>
      <c r="E51" s="15">
        <v>0</v>
      </c>
      <c r="F51" s="14" t="str">
        <f t="shared" si="18"/>
        <v/>
      </c>
      <c r="G51" s="15">
        <v>0</v>
      </c>
      <c r="H51" s="16"/>
      <c r="I51" s="15">
        <v>105.21</v>
      </c>
      <c r="J51" s="21"/>
      <c r="K51" s="15">
        <v>61.53</v>
      </c>
      <c r="L51" s="14" t="str">
        <f t="shared" si="19"/>
        <v/>
      </c>
      <c r="M51" s="15">
        <v>0</v>
      </c>
      <c r="N51" s="14" t="str">
        <f t="shared" si="15"/>
        <v/>
      </c>
      <c r="O51" s="19"/>
    </row>
    <row r="52" ht="45" customHeight="1" spans="1:15">
      <c r="A52" s="29" t="s">
        <v>23</v>
      </c>
      <c r="B52" s="11" t="str">
        <f>"Двенадцатый (№ 12)"</f>
        <v>Двенадцатый (№ 12)</v>
      </c>
      <c r="C52" s="11" t="str">
        <f>"Егорова Светлана Юрьевна"</f>
        <v>Егорова Светлана Юрьевна</v>
      </c>
      <c r="D52" s="12">
        <v>4.7</v>
      </c>
      <c r="E52" s="12"/>
      <c r="F52" s="11" t="str">
        <f t="shared" si="18"/>
        <v/>
      </c>
      <c r="G52" s="12"/>
      <c r="H52" s="13"/>
      <c r="I52" s="12">
        <v>4.7</v>
      </c>
      <c r="J52" s="20"/>
      <c r="K52" s="12"/>
      <c r="L52" s="11" t="str">
        <f t="shared" si="19"/>
        <v/>
      </c>
      <c r="M52" s="12"/>
      <c r="N52" s="11" t="str">
        <f t="shared" si="15"/>
        <v/>
      </c>
      <c r="O52" s="19"/>
    </row>
    <row r="53" ht="30" customHeight="1" spans="1:15">
      <c r="A53" s="28" t="s">
        <v>7</v>
      </c>
      <c r="B53" s="14" t="str">
        <f>""</f>
        <v/>
      </c>
      <c r="C53" s="14" t="str">
        <f>"Итого по кандидату"</f>
        <v>Итого по кандидату</v>
      </c>
      <c r="D53" s="15">
        <v>4.7</v>
      </c>
      <c r="E53" s="15">
        <v>0</v>
      </c>
      <c r="F53" s="14" t="str">
        <f t="shared" si="18"/>
        <v/>
      </c>
      <c r="G53" s="15">
        <v>0</v>
      </c>
      <c r="H53" s="16"/>
      <c r="I53" s="15">
        <v>4.7</v>
      </c>
      <c r="J53" s="21"/>
      <c r="K53" s="15">
        <v>0</v>
      </c>
      <c r="L53" s="14" t="str">
        <f t="shared" si="19"/>
        <v/>
      </c>
      <c r="M53" s="15">
        <v>0</v>
      </c>
      <c r="N53" s="14" t="str">
        <f t="shared" si="15"/>
        <v/>
      </c>
      <c r="O53" s="19"/>
    </row>
    <row r="54" ht="60" customHeight="1" spans="1:15">
      <c r="A54" s="29" t="s">
        <v>24</v>
      </c>
      <c r="B54" s="11" t="str">
        <f>"Двенадцатый (№ 12)"</f>
        <v>Двенадцатый (№ 12)</v>
      </c>
      <c r="C54" s="11" t="str">
        <f>"Новиков Егор Александрович"</f>
        <v>Новиков Егор Александрович</v>
      </c>
      <c r="D54" s="12">
        <v>594.5</v>
      </c>
      <c r="E54" s="12">
        <v>594.5</v>
      </c>
      <c r="F54" s="11" t="str">
        <f>"ОАО ""ЗИД"""</f>
        <v>ОАО "ЗИД"</v>
      </c>
      <c r="G54" s="12"/>
      <c r="H54" s="13"/>
      <c r="I54" s="12">
        <v>164.46</v>
      </c>
      <c r="J54" s="20"/>
      <c r="K54" s="12"/>
      <c r="L54" s="11" t="str">
        <f t="shared" si="19"/>
        <v/>
      </c>
      <c r="M54" s="12"/>
      <c r="N54" s="11" t="str">
        <f t="shared" si="15"/>
        <v/>
      </c>
      <c r="O54" s="19"/>
    </row>
    <row r="55" ht="30" customHeight="1" spans="1:15">
      <c r="A55" s="28" t="s">
        <v>7</v>
      </c>
      <c r="B55" s="14" t="str">
        <f>""</f>
        <v/>
      </c>
      <c r="C55" s="14" t="str">
        <f>"Итого по кандидату"</f>
        <v>Итого по кандидату</v>
      </c>
      <c r="D55" s="15">
        <v>594.5</v>
      </c>
      <c r="E55" s="15">
        <v>594.5</v>
      </c>
      <c r="F55" s="14" t="str">
        <f>""</f>
        <v/>
      </c>
      <c r="G55" s="15">
        <v>0</v>
      </c>
      <c r="H55" s="16"/>
      <c r="I55" s="15">
        <v>164.46</v>
      </c>
      <c r="J55" s="21"/>
      <c r="K55" s="15">
        <v>0</v>
      </c>
      <c r="L55" s="14" t="str">
        <f t="shared" si="19"/>
        <v/>
      </c>
      <c r="M55" s="15">
        <v>0</v>
      </c>
      <c r="N55" s="14" t="str">
        <f t="shared" si="15"/>
        <v/>
      </c>
      <c r="O55" s="19"/>
    </row>
    <row r="56" ht="75" customHeight="1" spans="1:15">
      <c r="A56" s="28" t="s">
        <v>7</v>
      </c>
      <c r="B56" s="14" t="str">
        <f>""</f>
        <v/>
      </c>
      <c r="C56" s="14" t="str">
        <f>"Избирательный округ (Двенадцатый (№ 12)), всего"</f>
        <v>Избирательный округ (Двенадцатый (№ 12)), всего</v>
      </c>
      <c r="D56" s="15">
        <v>599.2</v>
      </c>
      <c r="E56" s="15">
        <v>594.5</v>
      </c>
      <c r="F56" s="14" t="str">
        <f>""</f>
        <v/>
      </c>
      <c r="G56" s="15">
        <v>0</v>
      </c>
      <c r="H56" s="16"/>
      <c r="I56" s="15">
        <v>169.15</v>
      </c>
      <c r="J56" s="21"/>
      <c r="K56" s="15">
        <v>0</v>
      </c>
      <c r="L56" s="14" t="str">
        <f t="shared" si="19"/>
        <v/>
      </c>
      <c r="M56" s="15">
        <v>0</v>
      </c>
      <c r="N56" s="14" t="str">
        <f t="shared" si="15"/>
        <v/>
      </c>
      <c r="O56" s="19"/>
    </row>
    <row r="57" ht="45" customHeight="1" spans="1:15">
      <c r="A57" s="29" t="s">
        <v>25</v>
      </c>
      <c r="B57" s="11" t="str">
        <f>"Тринадцатый (№ 13)"</f>
        <v>Тринадцатый (№ 13)</v>
      </c>
      <c r="C57" s="11" t="str">
        <f>"Гуржов Сергей Викторович"</f>
        <v>Гуржов Сергей Викторович</v>
      </c>
      <c r="D57" s="12">
        <v>297.25</v>
      </c>
      <c r="E57" s="12">
        <v>297.25</v>
      </c>
      <c r="F57" s="11" t="str">
        <f>"ОАО ""ЗИД"""</f>
        <v>ОАО "ЗИД"</v>
      </c>
      <c r="G57" s="12"/>
      <c r="H57" s="13"/>
      <c r="I57" s="12">
        <v>164.46</v>
      </c>
      <c r="J57" s="20"/>
      <c r="K57" s="12"/>
      <c r="L57" s="11" t="str">
        <f t="shared" si="19"/>
        <v/>
      </c>
      <c r="M57" s="12"/>
      <c r="N57" s="11" t="str">
        <f t="shared" si="15"/>
        <v/>
      </c>
      <c r="O57" s="19"/>
    </row>
    <row r="58" ht="30" customHeight="1" spans="1:15">
      <c r="A58" s="28" t="s">
        <v>7</v>
      </c>
      <c r="B58" s="14" t="str">
        <f>""</f>
        <v/>
      </c>
      <c r="C58" s="14" t="str">
        <f>"Итого по кандидату"</f>
        <v>Итого по кандидату</v>
      </c>
      <c r="D58" s="15">
        <v>297.25</v>
      </c>
      <c r="E58" s="15">
        <v>297.25</v>
      </c>
      <c r="F58" s="14" t="str">
        <f>""</f>
        <v/>
      </c>
      <c r="G58" s="15">
        <v>0</v>
      </c>
      <c r="H58" s="16"/>
      <c r="I58" s="15">
        <v>164.46</v>
      </c>
      <c r="J58" s="21"/>
      <c r="K58" s="15">
        <v>0</v>
      </c>
      <c r="L58" s="14" t="str">
        <f t="shared" si="19"/>
        <v/>
      </c>
      <c r="M58" s="15">
        <v>0</v>
      </c>
      <c r="N58" s="14" t="str">
        <f t="shared" si="15"/>
        <v/>
      </c>
      <c r="O58" s="19"/>
    </row>
    <row r="59" ht="75" customHeight="1" spans="1:15">
      <c r="A59" s="28" t="s">
        <v>7</v>
      </c>
      <c r="B59" s="14" t="str">
        <f>""</f>
        <v/>
      </c>
      <c r="C59" s="14" t="str">
        <f>"Избирательный округ (Тринадцатый (№ 13)), всего"</f>
        <v>Избирательный округ (Тринадцатый (№ 13)), всего</v>
      </c>
      <c r="D59" s="15">
        <v>297.25</v>
      </c>
      <c r="E59" s="15">
        <v>297.25</v>
      </c>
      <c r="F59" s="14" t="str">
        <f>""</f>
        <v/>
      </c>
      <c r="G59" s="15">
        <v>0</v>
      </c>
      <c r="H59" s="16"/>
      <c r="I59" s="15">
        <v>164.46</v>
      </c>
      <c r="J59" s="21"/>
      <c r="K59" s="15">
        <v>0</v>
      </c>
      <c r="L59" s="14" t="str">
        <f t="shared" si="19"/>
        <v/>
      </c>
      <c r="M59" s="15">
        <v>0</v>
      </c>
      <c r="N59" s="14" t="str">
        <f t="shared" si="15"/>
        <v/>
      </c>
      <c r="O59" s="19"/>
    </row>
    <row r="60" ht="45" customHeight="1" spans="1:15">
      <c r="A60" s="29" t="s">
        <v>26</v>
      </c>
      <c r="B60" s="11" t="str">
        <f>"Четырнадцатый (№ 14)"</f>
        <v>Четырнадцатый (№ 14)</v>
      </c>
      <c r="C60" s="11" t="str">
        <f>"Парциков Сергей Павлович"</f>
        <v>Парциков Сергей Павлович</v>
      </c>
      <c r="D60" s="12">
        <v>35</v>
      </c>
      <c r="E60" s="12"/>
      <c r="F60" s="11" t="str">
        <f>""</f>
        <v/>
      </c>
      <c r="G60" s="12"/>
      <c r="H60" s="13"/>
      <c r="I60" s="12">
        <v>34.54</v>
      </c>
      <c r="J60" s="20"/>
      <c r="K60" s="12"/>
      <c r="L60" s="11" t="str">
        <f t="shared" si="19"/>
        <v/>
      </c>
      <c r="M60" s="12"/>
      <c r="N60" s="11" t="str">
        <f t="shared" si="15"/>
        <v/>
      </c>
      <c r="O60" s="19"/>
    </row>
    <row r="61" ht="30" customHeight="1" spans="1:15">
      <c r="A61" s="28" t="s">
        <v>7</v>
      </c>
      <c r="B61" s="14" t="str">
        <f>""</f>
        <v/>
      </c>
      <c r="C61" s="14" t="str">
        <f>"Итого по кандидату"</f>
        <v>Итого по кандидату</v>
      </c>
      <c r="D61" s="15">
        <v>35</v>
      </c>
      <c r="E61" s="15">
        <v>0</v>
      </c>
      <c r="F61" s="14" t="str">
        <f>""</f>
        <v/>
      </c>
      <c r="G61" s="15">
        <v>0</v>
      </c>
      <c r="H61" s="16"/>
      <c r="I61" s="15">
        <v>34.54</v>
      </c>
      <c r="J61" s="21"/>
      <c r="K61" s="15">
        <v>0</v>
      </c>
      <c r="L61" s="14" t="str">
        <f t="shared" si="19"/>
        <v/>
      </c>
      <c r="M61" s="15">
        <v>0</v>
      </c>
      <c r="N61" s="14" t="str">
        <f t="shared" si="15"/>
        <v/>
      </c>
      <c r="O61" s="19"/>
    </row>
    <row r="62" ht="75" customHeight="1" spans="1:15">
      <c r="A62" s="28" t="s">
        <v>7</v>
      </c>
      <c r="B62" s="14" t="str">
        <f>""</f>
        <v/>
      </c>
      <c r="C62" s="14" t="str">
        <f>"Избирательный округ (Четырнадцатый (№ 14)), всего"</f>
        <v>Избирательный округ (Четырнадцатый (№ 14)), всего</v>
      </c>
      <c r="D62" s="15">
        <v>35</v>
      </c>
      <c r="E62" s="15">
        <v>0</v>
      </c>
      <c r="F62" s="14" t="str">
        <f>""</f>
        <v/>
      </c>
      <c r="G62" s="15">
        <v>0</v>
      </c>
      <c r="H62" s="16"/>
      <c r="I62" s="15">
        <v>34.54</v>
      </c>
      <c r="J62" s="21"/>
      <c r="K62" s="15">
        <v>0</v>
      </c>
      <c r="L62" s="14" t="str">
        <f t="shared" si="19"/>
        <v/>
      </c>
      <c r="M62" s="15">
        <v>0</v>
      </c>
      <c r="N62" s="14" t="str">
        <f t="shared" si="15"/>
        <v/>
      </c>
      <c r="O62" s="19"/>
    </row>
    <row r="63" ht="45" customHeight="1" spans="1:15">
      <c r="A63" s="29" t="s">
        <v>27</v>
      </c>
      <c r="B63" s="11" t="str">
        <f>"Пятнадцатый (№ 15)"</f>
        <v>Пятнадцатый (№ 15)</v>
      </c>
      <c r="C63" s="11" t="str">
        <f>"Шилов Владимир Николаевич"</f>
        <v>Шилов Владимир Николаевич</v>
      </c>
      <c r="D63" s="12">
        <v>297.25</v>
      </c>
      <c r="E63" s="12">
        <v>297.25</v>
      </c>
      <c r="F63" s="11" t="str">
        <f>"ОАО ""ЗИД"""</f>
        <v>ОАО "ЗИД"</v>
      </c>
      <c r="G63" s="12"/>
      <c r="H63" s="13"/>
      <c r="I63" s="12">
        <v>164.46</v>
      </c>
      <c r="J63" s="20"/>
      <c r="K63" s="12"/>
      <c r="L63" s="11" t="str">
        <f t="shared" si="19"/>
        <v/>
      </c>
      <c r="M63" s="12"/>
      <c r="N63" s="11" t="str">
        <f t="shared" si="15"/>
        <v/>
      </c>
      <c r="O63" s="19"/>
    </row>
    <row r="64" ht="30" customHeight="1" spans="1:15">
      <c r="A64" s="28" t="s">
        <v>7</v>
      </c>
      <c r="B64" s="14" t="str">
        <f>""</f>
        <v/>
      </c>
      <c r="C64" s="14" t="str">
        <f>"Итого по кандидату"</f>
        <v>Итого по кандидату</v>
      </c>
      <c r="D64" s="15">
        <v>297.25</v>
      </c>
      <c r="E64" s="15">
        <v>297.25</v>
      </c>
      <c r="F64" s="14" t="str">
        <f>""</f>
        <v/>
      </c>
      <c r="G64" s="15">
        <v>0</v>
      </c>
      <c r="H64" s="16"/>
      <c r="I64" s="15">
        <v>164.46</v>
      </c>
      <c r="J64" s="21"/>
      <c r="K64" s="15">
        <v>0</v>
      </c>
      <c r="L64" s="14" t="str">
        <f t="shared" si="19"/>
        <v/>
      </c>
      <c r="M64" s="15">
        <v>0</v>
      </c>
      <c r="N64" s="14" t="str">
        <f t="shared" si="15"/>
        <v/>
      </c>
      <c r="O64" s="19"/>
    </row>
    <row r="65" ht="75" customHeight="1" spans="1:15">
      <c r="A65" s="28" t="s">
        <v>7</v>
      </c>
      <c r="B65" s="14" t="str">
        <f>""</f>
        <v/>
      </c>
      <c r="C65" s="14" t="str">
        <f>"Избирательный округ (Пятнадцатый (№ 15)), всего"</f>
        <v>Избирательный округ (Пятнадцатый (№ 15)), всего</v>
      </c>
      <c r="D65" s="15">
        <v>297.25</v>
      </c>
      <c r="E65" s="15">
        <v>297.25</v>
      </c>
      <c r="F65" s="14" t="str">
        <f>""</f>
        <v/>
      </c>
      <c r="G65" s="15">
        <v>0</v>
      </c>
      <c r="H65" s="16"/>
      <c r="I65" s="15">
        <v>164.46</v>
      </c>
      <c r="J65" s="21"/>
      <c r="K65" s="15">
        <v>0</v>
      </c>
      <c r="L65" s="14" t="str">
        <f t="shared" si="19"/>
        <v/>
      </c>
      <c r="M65" s="15">
        <v>0</v>
      </c>
      <c r="N65" s="14" t="str">
        <f t="shared" si="15"/>
        <v/>
      </c>
      <c r="O65" s="19"/>
    </row>
    <row r="66" ht="45" customHeight="1" spans="1:15">
      <c r="A66" s="29" t="s">
        <v>28</v>
      </c>
      <c r="B66" s="11" t="str">
        <f>"Шестнадцатый (№ 16)"</f>
        <v>Шестнадцатый (№ 16)</v>
      </c>
      <c r="C66" s="11" t="str">
        <f>"Петроченков Игорь Николаевич"</f>
        <v>Петроченков Игорь Николаевич</v>
      </c>
      <c r="D66" s="12">
        <v>297.25</v>
      </c>
      <c r="E66" s="12">
        <v>297.25</v>
      </c>
      <c r="F66" s="11" t="str">
        <f>"ОАО ""ЗИД"""</f>
        <v>ОАО "ЗИД"</v>
      </c>
      <c r="G66" s="12"/>
      <c r="H66" s="13"/>
      <c r="I66" s="12">
        <v>164.46</v>
      </c>
      <c r="J66" s="20"/>
      <c r="K66" s="12"/>
      <c r="L66" s="11" t="str">
        <f t="shared" si="19"/>
        <v/>
      </c>
      <c r="M66" s="12"/>
      <c r="N66" s="11" t="str">
        <f t="shared" si="15"/>
        <v/>
      </c>
      <c r="O66" s="19"/>
    </row>
    <row r="67" ht="30" customHeight="1" spans="1:15">
      <c r="A67" s="28" t="s">
        <v>7</v>
      </c>
      <c r="B67" s="14" t="str">
        <f>""</f>
        <v/>
      </c>
      <c r="C67" s="14" t="str">
        <f>"Итого по кандидату"</f>
        <v>Итого по кандидату</v>
      </c>
      <c r="D67" s="15">
        <v>297.25</v>
      </c>
      <c r="E67" s="15">
        <v>297.25</v>
      </c>
      <c r="F67" s="14" t="str">
        <f>""</f>
        <v/>
      </c>
      <c r="G67" s="15">
        <v>0</v>
      </c>
      <c r="H67" s="16"/>
      <c r="I67" s="15">
        <v>164.46</v>
      </c>
      <c r="J67" s="21"/>
      <c r="K67" s="15">
        <v>0</v>
      </c>
      <c r="L67" s="14" t="str">
        <f t="shared" si="19"/>
        <v/>
      </c>
      <c r="M67" s="15">
        <v>0</v>
      </c>
      <c r="N67" s="14" t="str">
        <f t="shared" si="15"/>
        <v/>
      </c>
      <c r="O67" s="19"/>
    </row>
    <row r="68" ht="75" customHeight="1" spans="1:15">
      <c r="A68" s="28" t="s">
        <v>7</v>
      </c>
      <c r="B68" s="14" t="str">
        <f>""</f>
        <v/>
      </c>
      <c r="C68" s="14" t="str">
        <f>"Избирательный округ (Шестнадцатый (№ 16)), всего"</f>
        <v>Избирательный округ (Шестнадцатый (№ 16)), всего</v>
      </c>
      <c r="D68" s="15">
        <v>297.25</v>
      </c>
      <c r="E68" s="15">
        <v>297.25</v>
      </c>
      <c r="F68" s="14" t="str">
        <f>""</f>
        <v/>
      </c>
      <c r="G68" s="15">
        <v>0</v>
      </c>
      <c r="H68" s="16"/>
      <c r="I68" s="15">
        <v>164.46</v>
      </c>
      <c r="J68" s="21"/>
      <c r="K68" s="15">
        <v>0</v>
      </c>
      <c r="L68" s="14" t="str">
        <f t="shared" si="19"/>
        <v/>
      </c>
      <c r="M68" s="15">
        <v>0</v>
      </c>
      <c r="N68" s="14" t="str">
        <f t="shared" si="15"/>
        <v/>
      </c>
      <c r="O68" s="19"/>
    </row>
    <row r="69" ht="45" customHeight="1" spans="1:15">
      <c r="A69" s="29" t="s">
        <v>29</v>
      </c>
      <c r="B69" s="11" t="str">
        <f>"Семнадцатый (№ 17)"</f>
        <v>Семнадцатый (№ 17)</v>
      </c>
      <c r="C69" s="11" t="str">
        <f>"Булкин Александр Михайлович"</f>
        <v>Булкин Александр Михайлович</v>
      </c>
      <c r="D69" s="12">
        <v>297.25</v>
      </c>
      <c r="E69" s="12">
        <v>297.25</v>
      </c>
      <c r="F69" s="11" t="str">
        <f>"ОАО ""ЗИД"""</f>
        <v>ОАО "ЗИД"</v>
      </c>
      <c r="G69" s="12"/>
      <c r="H69" s="13"/>
      <c r="I69" s="12">
        <v>164.46</v>
      </c>
      <c r="J69" s="20"/>
      <c r="K69" s="12"/>
      <c r="L69" s="11" t="str">
        <f t="shared" si="19"/>
        <v/>
      </c>
      <c r="M69" s="12"/>
      <c r="N69" s="11" t="str">
        <f t="shared" si="15"/>
        <v/>
      </c>
      <c r="O69" s="19"/>
    </row>
    <row r="70" ht="30" customHeight="1" spans="1:15">
      <c r="A70" s="28" t="s">
        <v>7</v>
      </c>
      <c r="B70" s="14" t="str">
        <f>""</f>
        <v/>
      </c>
      <c r="C70" s="14" t="str">
        <f>"Итого по кандидату"</f>
        <v>Итого по кандидату</v>
      </c>
      <c r="D70" s="15">
        <v>297.25</v>
      </c>
      <c r="E70" s="15">
        <v>297.25</v>
      </c>
      <c r="F70" s="14" t="str">
        <f t="shared" ref="F70:F85" si="20">""</f>
        <v/>
      </c>
      <c r="G70" s="15">
        <v>0</v>
      </c>
      <c r="H70" s="16"/>
      <c r="I70" s="15">
        <v>164.46</v>
      </c>
      <c r="J70" s="21"/>
      <c r="K70" s="15">
        <v>0</v>
      </c>
      <c r="L70" s="14" t="str">
        <f t="shared" si="19"/>
        <v/>
      </c>
      <c r="M70" s="15">
        <v>0</v>
      </c>
      <c r="N70" s="14" t="str">
        <f t="shared" si="15"/>
        <v/>
      </c>
      <c r="O70" s="19"/>
    </row>
    <row r="71" ht="75" customHeight="1" spans="1:15">
      <c r="A71" s="28" t="s">
        <v>7</v>
      </c>
      <c r="B71" s="14" t="str">
        <f>""</f>
        <v/>
      </c>
      <c r="C71" s="14" t="str">
        <f>"Избирательный округ (Семнадцатый (№ 17)), всего"</f>
        <v>Избирательный округ (Семнадцатый (№ 17)), всего</v>
      </c>
      <c r="D71" s="15">
        <v>297.25</v>
      </c>
      <c r="E71" s="15">
        <v>297.25</v>
      </c>
      <c r="F71" s="14" t="str">
        <f t="shared" si="20"/>
        <v/>
      </c>
      <c r="G71" s="15">
        <v>0</v>
      </c>
      <c r="H71" s="16"/>
      <c r="I71" s="15">
        <v>164.46</v>
      </c>
      <c r="J71" s="21"/>
      <c r="K71" s="15">
        <v>0</v>
      </c>
      <c r="L71" s="14" t="str">
        <f t="shared" si="19"/>
        <v/>
      </c>
      <c r="M71" s="15">
        <v>0</v>
      </c>
      <c r="N71" s="14" t="str">
        <f t="shared" si="15"/>
        <v/>
      </c>
      <c r="O71" s="19"/>
    </row>
    <row r="72" ht="159.75" customHeight="1" spans="1:15">
      <c r="A72" s="29" t="s">
        <v>30</v>
      </c>
      <c r="B72" s="11" t="str">
        <f>"Восемнадцатый (№ 18)"</f>
        <v>Восемнадцатый (№ 18)</v>
      </c>
      <c r="C72" s="11" t="str">
        <f>"Квасницкая Светлана Владимировна"</f>
        <v>Квасницкая Светлана Владимировна</v>
      </c>
      <c r="D72" s="12">
        <v>260.94</v>
      </c>
      <c r="E72" s="12"/>
      <c r="F72" s="11" t="str">
        <f t="shared" si="20"/>
        <v/>
      </c>
      <c r="G72" s="12"/>
      <c r="H72" s="13"/>
      <c r="I72" s="12">
        <v>260.94</v>
      </c>
      <c r="J72" s="20" t="s">
        <v>6</v>
      </c>
      <c r="K72" s="12">
        <v>220</v>
      </c>
      <c r="L72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72" s="12"/>
      <c r="N72" s="11" t="str">
        <f t="shared" si="15"/>
        <v/>
      </c>
      <c r="O72" s="19"/>
    </row>
    <row r="73" ht="30" customHeight="1" spans="1:15">
      <c r="A73" s="28" t="s">
        <v>7</v>
      </c>
      <c r="B73" s="14" t="str">
        <f>""</f>
        <v/>
      </c>
      <c r="C73" s="14" t="str">
        <f>"Итого по кандидату"</f>
        <v>Итого по кандидату</v>
      </c>
      <c r="D73" s="15">
        <v>260.94</v>
      </c>
      <c r="E73" s="15">
        <v>0</v>
      </c>
      <c r="F73" s="14" t="str">
        <f t="shared" si="20"/>
        <v/>
      </c>
      <c r="G73" s="15">
        <v>0</v>
      </c>
      <c r="H73" s="16"/>
      <c r="I73" s="15">
        <v>260.94</v>
      </c>
      <c r="J73" s="21"/>
      <c r="K73" s="15">
        <v>220</v>
      </c>
      <c r="L73" s="14" t="str">
        <f>""</f>
        <v/>
      </c>
      <c r="M73" s="15">
        <v>0</v>
      </c>
      <c r="N73" s="14" t="str">
        <f t="shared" si="15"/>
        <v/>
      </c>
      <c r="O73" s="19"/>
    </row>
    <row r="74" ht="75" customHeight="1" spans="1:15">
      <c r="A74" s="28" t="s">
        <v>7</v>
      </c>
      <c r="B74" s="14" t="str">
        <f>""</f>
        <v/>
      </c>
      <c r="C74" s="14" t="str">
        <f>"Избирательный округ (Восемнадцатый (№ 18)), всего"</f>
        <v>Избирательный округ (Восемнадцатый (№ 18)), всего</v>
      </c>
      <c r="D74" s="15">
        <v>260.94</v>
      </c>
      <c r="E74" s="15">
        <v>0</v>
      </c>
      <c r="F74" s="14" t="str">
        <f t="shared" si="20"/>
        <v/>
      </c>
      <c r="G74" s="15">
        <v>0</v>
      </c>
      <c r="H74" s="16"/>
      <c r="I74" s="15">
        <v>260.94</v>
      </c>
      <c r="J74" s="21"/>
      <c r="K74" s="15">
        <v>220</v>
      </c>
      <c r="L74" s="14" t="str">
        <f>""</f>
        <v/>
      </c>
      <c r="M74" s="15">
        <v>0</v>
      </c>
      <c r="N74" s="14" t="str">
        <f t="shared" si="15"/>
        <v/>
      </c>
      <c r="O74" s="19"/>
    </row>
    <row r="75" ht="171" customHeight="1" spans="1:15">
      <c r="A75" s="29" t="s">
        <v>31</v>
      </c>
      <c r="B75" s="11" t="str">
        <f>"Девятнадцатый (№ 19)"</f>
        <v>Девятнадцатый (№ 19)</v>
      </c>
      <c r="C75" s="11" t="str">
        <f>"Кашицын Сергей Владимирович"</f>
        <v>Кашицын Сергей Владимирович</v>
      </c>
      <c r="D75" s="12">
        <v>356.41</v>
      </c>
      <c r="E75" s="12"/>
      <c r="F75" s="11" t="str">
        <f t="shared" si="20"/>
        <v/>
      </c>
      <c r="G75" s="12"/>
      <c r="H75" s="13"/>
      <c r="I75" s="12">
        <v>356.41</v>
      </c>
      <c r="J75" s="20" t="s">
        <v>6</v>
      </c>
      <c r="K75" s="12">
        <v>292.98</v>
      </c>
      <c r="L75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75" s="12"/>
      <c r="N75" s="11" t="str">
        <f t="shared" si="15"/>
        <v/>
      </c>
      <c r="O75" s="19"/>
    </row>
    <row r="76" ht="30" customHeight="1" spans="1:15">
      <c r="A76" s="28" t="s">
        <v>7</v>
      </c>
      <c r="B76" s="14" t="str">
        <f>""</f>
        <v/>
      </c>
      <c r="C76" s="14" t="str">
        <f>"Итого по кандидату"</f>
        <v>Итого по кандидату</v>
      </c>
      <c r="D76" s="15">
        <v>356.41</v>
      </c>
      <c r="E76" s="15">
        <v>0</v>
      </c>
      <c r="F76" s="14" t="str">
        <f t="shared" si="20"/>
        <v/>
      </c>
      <c r="G76" s="15">
        <v>0</v>
      </c>
      <c r="H76" s="16"/>
      <c r="I76" s="15">
        <v>356.41</v>
      </c>
      <c r="J76" s="21"/>
      <c r="K76" s="15">
        <v>292.98</v>
      </c>
      <c r="L76" s="14" t="str">
        <f>""</f>
        <v/>
      </c>
      <c r="M76" s="15">
        <v>0</v>
      </c>
      <c r="N76" s="14" t="str">
        <f t="shared" si="15"/>
        <v/>
      </c>
      <c r="O76" s="19"/>
    </row>
    <row r="77" ht="75" customHeight="1" spans="1:15">
      <c r="A77" s="28" t="s">
        <v>7</v>
      </c>
      <c r="B77" s="14" t="str">
        <f>""</f>
        <v/>
      </c>
      <c r="C77" s="14" t="str">
        <f>"Избирательный округ (Девятнадцатый (№ 19)), всего"</f>
        <v>Избирательный округ (Девятнадцатый (№ 19)), всего</v>
      </c>
      <c r="D77" s="15">
        <v>356.41</v>
      </c>
      <c r="E77" s="15">
        <v>0</v>
      </c>
      <c r="F77" s="14" t="str">
        <f t="shared" si="20"/>
        <v/>
      </c>
      <c r="G77" s="15">
        <v>0</v>
      </c>
      <c r="H77" s="16"/>
      <c r="I77" s="15">
        <v>356.41</v>
      </c>
      <c r="J77" s="21"/>
      <c r="K77" s="15">
        <v>292.98</v>
      </c>
      <c r="L77" s="14" t="str">
        <f>""</f>
        <v/>
      </c>
      <c r="M77" s="15">
        <v>0</v>
      </c>
      <c r="N77" s="14" t="str">
        <f t="shared" ref="N77:N121" si="21">""</f>
        <v/>
      </c>
      <c r="O77" s="19"/>
    </row>
    <row r="78" ht="159.75" customHeight="1" spans="1:15">
      <c r="A78" s="29" t="s">
        <v>32</v>
      </c>
      <c r="B78" s="11" t="str">
        <f>"Двадцатый (№ 20)"</f>
        <v>Двадцатый (№ 20)</v>
      </c>
      <c r="C78" s="11" t="str">
        <f>"Корепанова Ольга Николаевна"</f>
        <v>Корепанова Ольга Николаевна</v>
      </c>
      <c r="D78" s="12">
        <v>260.06</v>
      </c>
      <c r="E78" s="12"/>
      <c r="F78" s="11" t="str">
        <f t="shared" si="20"/>
        <v/>
      </c>
      <c r="G78" s="12"/>
      <c r="H78" s="13"/>
      <c r="I78" s="12">
        <v>259.76</v>
      </c>
      <c r="J78" s="20" t="s">
        <v>12</v>
      </c>
      <c r="K78" s="12">
        <v>220</v>
      </c>
      <c r="L78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78" s="12"/>
      <c r="N78" s="11" t="str">
        <f t="shared" si="21"/>
        <v/>
      </c>
      <c r="O78" s="19"/>
    </row>
    <row r="79" ht="30" customHeight="1" spans="1:15">
      <c r="A79" s="28" t="s">
        <v>7</v>
      </c>
      <c r="B79" s="14" t="str">
        <f>""</f>
        <v/>
      </c>
      <c r="C79" s="14" t="str">
        <f>"Итого по кандидату"</f>
        <v>Итого по кандидату</v>
      </c>
      <c r="D79" s="15">
        <v>260.06</v>
      </c>
      <c r="E79" s="15">
        <v>0</v>
      </c>
      <c r="F79" s="14" t="str">
        <f t="shared" si="20"/>
        <v/>
      </c>
      <c r="G79" s="15">
        <v>0</v>
      </c>
      <c r="H79" s="16"/>
      <c r="I79" s="15">
        <v>259.76</v>
      </c>
      <c r="J79" s="21"/>
      <c r="K79" s="15">
        <v>220</v>
      </c>
      <c r="L79" s="14" t="str">
        <f>""</f>
        <v/>
      </c>
      <c r="M79" s="15">
        <v>0</v>
      </c>
      <c r="N79" s="14" t="str">
        <f t="shared" si="21"/>
        <v/>
      </c>
      <c r="O79" s="19"/>
    </row>
    <row r="80" ht="45" customHeight="1" spans="1:15">
      <c r="A80" s="29" t="s">
        <v>33</v>
      </c>
      <c r="B80" s="11" t="str">
        <f>"Двадцатый (№ 20)"</f>
        <v>Двадцатый (№ 20)</v>
      </c>
      <c r="C80" s="11" t="str">
        <f>"Лебедев Михаил Олегович"</f>
        <v>Лебедев Михаил Олегович</v>
      </c>
      <c r="D80" s="12">
        <v>94</v>
      </c>
      <c r="E80" s="12"/>
      <c r="F80" s="11" t="str">
        <f t="shared" si="20"/>
        <v/>
      </c>
      <c r="G80" s="12"/>
      <c r="H80" s="13"/>
      <c r="I80" s="12">
        <v>90.03</v>
      </c>
      <c r="J80" s="20"/>
      <c r="K80" s="12"/>
      <c r="L80" s="11" t="str">
        <f>""</f>
        <v/>
      </c>
      <c r="M80" s="12"/>
      <c r="N80" s="11" t="str">
        <f t="shared" si="21"/>
        <v/>
      </c>
      <c r="O80" s="19"/>
    </row>
    <row r="81" ht="30" customHeight="1" spans="1:15">
      <c r="A81" s="28" t="s">
        <v>7</v>
      </c>
      <c r="B81" s="14" t="str">
        <f>""</f>
        <v/>
      </c>
      <c r="C81" s="14" t="str">
        <f>"Итого по кандидату"</f>
        <v>Итого по кандидату</v>
      </c>
      <c r="D81" s="15">
        <v>94</v>
      </c>
      <c r="E81" s="15">
        <v>0</v>
      </c>
      <c r="F81" s="14" t="str">
        <f t="shared" si="20"/>
        <v/>
      </c>
      <c r="G81" s="15">
        <v>0</v>
      </c>
      <c r="H81" s="16"/>
      <c r="I81" s="15">
        <v>90.03</v>
      </c>
      <c r="J81" s="21"/>
      <c r="K81" s="15">
        <v>0</v>
      </c>
      <c r="L81" s="14" t="str">
        <f>""</f>
        <v/>
      </c>
      <c r="M81" s="15">
        <v>0</v>
      </c>
      <c r="N81" s="14" t="str">
        <f t="shared" si="21"/>
        <v/>
      </c>
      <c r="O81" s="19"/>
    </row>
    <row r="82" ht="75" customHeight="1" spans="1:15">
      <c r="A82" s="28" t="s">
        <v>7</v>
      </c>
      <c r="B82" s="14" t="str">
        <f>""</f>
        <v/>
      </c>
      <c r="C82" s="14" t="str">
        <f>"Избирательный округ (Двадцатый (№ 20)), всего"</f>
        <v>Избирательный округ (Двадцатый (№ 20)), всего</v>
      </c>
      <c r="D82" s="15">
        <v>354.06</v>
      </c>
      <c r="E82" s="15">
        <v>0</v>
      </c>
      <c r="F82" s="14" t="str">
        <f t="shared" si="20"/>
        <v/>
      </c>
      <c r="G82" s="15">
        <v>0</v>
      </c>
      <c r="H82" s="16"/>
      <c r="I82" s="15">
        <v>349.79</v>
      </c>
      <c r="J82" s="21"/>
      <c r="K82" s="15">
        <v>220</v>
      </c>
      <c r="L82" s="14" t="str">
        <f>""</f>
        <v/>
      </c>
      <c r="M82" s="15">
        <v>0</v>
      </c>
      <c r="N82" s="14" t="str">
        <f t="shared" si="21"/>
        <v/>
      </c>
      <c r="O82" s="19"/>
    </row>
    <row r="83" ht="172.5" customHeight="1" spans="1:15">
      <c r="A83" s="29" t="s">
        <v>34</v>
      </c>
      <c r="B83" s="11" t="str">
        <f>"Двадцать первый (№ 21)"</f>
        <v>Двадцать первый (№ 21)</v>
      </c>
      <c r="C83" s="11" t="str">
        <f>"Иголкина Ирина Владимировна"</f>
        <v>Иголкина Ирина Владимировна</v>
      </c>
      <c r="D83" s="12">
        <v>100</v>
      </c>
      <c r="E83" s="12"/>
      <c r="F83" s="11" t="str">
        <f t="shared" si="20"/>
        <v/>
      </c>
      <c r="G83" s="12">
        <v>70</v>
      </c>
      <c r="H83" s="13">
        <v>1</v>
      </c>
      <c r="I83" s="12">
        <v>102.8</v>
      </c>
      <c r="J83" s="20" t="s">
        <v>15</v>
      </c>
      <c r="K83" s="12">
        <v>56.27</v>
      </c>
      <c r="L83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83" s="12"/>
      <c r="N83" s="11" t="str">
        <f t="shared" si="21"/>
        <v/>
      </c>
      <c r="O83" s="19"/>
    </row>
    <row r="84" ht="30" customHeight="1" spans="1:15">
      <c r="A84" s="28" t="s">
        <v>7</v>
      </c>
      <c r="B84" s="14" t="str">
        <f>""</f>
        <v/>
      </c>
      <c r="C84" s="14" t="str">
        <f>"Итого по кандидату"</f>
        <v>Итого по кандидату</v>
      </c>
      <c r="D84" s="15">
        <v>100</v>
      </c>
      <c r="E84" s="15">
        <v>0</v>
      </c>
      <c r="F84" s="14" t="str">
        <f t="shared" si="20"/>
        <v/>
      </c>
      <c r="G84" s="15">
        <v>70</v>
      </c>
      <c r="H84" s="16"/>
      <c r="I84" s="15">
        <v>102.8</v>
      </c>
      <c r="J84" s="21"/>
      <c r="K84" s="15">
        <v>56.27</v>
      </c>
      <c r="L84" s="14" t="str">
        <f>""</f>
        <v/>
      </c>
      <c r="M84" s="15">
        <v>0</v>
      </c>
      <c r="N84" s="14" t="str">
        <f t="shared" si="21"/>
        <v/>
      </c>
      <c r="O84" s="19"/>
    </row>
    <row r="85" ht="75" customHeight="1" spans="1:15">
      <c r="A85" s="28" t="s">
        <v>7</v>
      </c>
      <c r="B85" s="14" t="str">
        <f>""</f>
        <v/>
      </c>
      <c r="C85" s="14" t="str">
        <f>"Избирательный округ (Двадцать первый (№ 21)), всего"</f>
        <v>Избирательный округ (Двадцать первый (№ 21)), всего</v>
      </c>
      <c r="D85" s="15">
        <v>100</v>
      </c>
      <c r="E85" s="15">
        <v>0</v>
      </c>
      <c r="F85" s="14" t="str">
        <f t="shared" si="20"/>
        <v/>
      </c>
      <c r="G85" s="15">
        <v>70</v>
      </c>
      <c r="H85" s="16"/>
      <c r="I85" s="15">
        <v>102.8</v>
      </c>
      <c r="J85" s="21"/>
      <c r="K85" s="15">
        <v>56.27</v>
      </c>
      <c r="L85" s="14" t="str">
        <f>""</f>
        <v/>
      </c>
      <c r="M85" s="15">
        <v>0</v>
      </c>
      <c r="N85" s="14" t="str">
        <f t="shared" si="21"/>
        <v/>
      </c>
      <c r="O85" s="19"/>
    </row>
    <row r="86" ht="45" customHeight="1" spans="1:15">
      <c r="A86" s="29" t="s">
        <v>35</v>
      </c>
      <c r="B86" s="11" t="str">
        <f>"Двадцать второй (№ 22)"</f>
        <v>Двадцать второй (№ 22)</v>
      </c>
      <c r="C86" s="11" t="str">
        <f>"Циглов Александр Сергеевич"</f>
        <v>Циглов Александр Сергеевич</v>
      </c>
      <c r="D86" s="12">
        <v>297.25</v>
      </c>
      <c r="E86" s="12">
        <v>297.25</v>
      </c>
      <c r="F86" s="11" t="str">
        <f>"ОАО ""ЗИД"""</f>
        <v>ОАО "ЗИД"</v>
      </c>
      <c r="G86" s="12"/>
      <c r="H86" s="13"/>
      <c r="I86" s="12">
        <v>164.46</v>
      </c>
      <c r="J86" s="20"/>
      <c r="K86" s="12"/>
      <c r="L86" s="11" t="str">
        <f>""</f>
        <v/>
      </c>
      <c r="M86" s="12"/>
      <c r="N86" s="11" t="str">
        <f t="shared" si="21"/>
        <v/>
      </c>
      <c r="O86" s="19"/>
    </row>
    <row r="87" ht="30" customHeight="1" spans="1:15">
      <c r="A87" s="28" t="s">
        <v>7</v>
      </c>
      <c r="B87" s="14" t="str">
        <f>""</f>
        <v/>
      </c>
      <c r="C87" s="14" t="str">
        <f>"Итого по кандидату"</f>
        <v>Итого по кандидату</v>
      </c>
      <c r="D87" s="15">
        <v>297.25</v>
      </c>
      <c r="E87" s="15">
        <v>297.25</v>
      </c>
      <c r="F87" s="14" t="str">
        <f t="shared" ref="F87:F121" si="22">""</f>
        <v/>
      </c>
      <c r="G87" s="15">
        <v>0</v>
      </c>
      <c r="H87" s="16"/>
      <c r="I87" s="15">
        <v>164.46</v>
      </c>
      <c r="J87" s="21"/>
      <c r="K87" s="15">
        <v>0</v>
      </c>
      <c r="L87" s="14" t="str">
        <f>""</f>
        <v/>
      </c>
      <c r="M87" s="15">
        <v>0</v>
      </c>
      <c r="N87" s="14" t="str">
        <f t="shared" si="21"/>
        <v/>
      </c>
      <c r="O87" s="19"/>
    </row>
    <row r="88" ht="75" customHeight="1" spans="1:15">
      <c r="A88" s="28" t="s">
        <v>7</v>
      </c>
      <c r="B88" s="14" t="str">
        <f>""</f>
        <v/>
      </c>
      <c r="C88" s="14" t="str">
        <f>"Избирательный округ (Двадцать второй (№ 22)), всего"</f>
        <v>Избирательный округ (Двадцать второй (№ 22)), всего</v>
      </c>
      <c r="D88" s="15">
        <v>297.25</v>
      </c>
      <c r="E88" s="15">
        <v>297.25</v>
      </c>
      <c r="F88" s="14" t="str">
        <f t="shared" si="22"/>
        <v/>
      </c>
      <c r="G88" s="15">
        <v>0</v>
      </c>
      <c r="H88" s="16"/>
      <c r="I88" s="15">
        <v>164.46</v>
      </c>
      <c r="J88" s="21"/>
      <c r="K88" s="15">
        <v>0</v>
      </c>
      <c r="L88" s="14" t="str">
        <f>""</f>
        <v/>
      </c>
      <c r="M88" s="15">
        <v>0</v>
      </c>
      <c r="N88" s="14" t="str">
        <f t="shared" si="21"/>
        <v/>
      </c>
      <c r="O88" s="19"/>
    </row>
    <row r="89" ht="142.5" customHeight="1" spans="1:15">
      <c r="A89" s="29" t="s">
        <v>36</v>
      </c>
      <c r="B89" s="11" t="str">
        <f>"Двадцать третий (№ 23)"</f>
        <v>Двадцать третий (№ 23)</v>
      </c>
      <c r="C89" s="11" t="str">
        <f>"Исаева Ирина Викторовна"</f>
        <v>Исаева Ирина Викторовна</v>
      </c>
      <c r="D89" s="12">
        <v>100</v>
      </c>
      <c r="E89" s="12"/>
      <c r="F89" s="11" t="str">
        <f t="shared" si="22"/>
        <v/>
      </c>
      <c r="G89" s="12">
        <v>70</v>
      </c>
      <c r="H89" s="13">
        <v>1</v>
      </c>
      <c r="I89" s="12">
        <v>102.8</v>
      </c>
      <c r="J89" s="20" t="s">
        <v>15</v>
      </c>
      <c r="K89" s="12">
        <v>57.44</v>
      </c>
      <c r="L89" s="11" t="str">
        <f>"Израсходовано на оплату других работ (услуг), выполненных юридическими лицами или гражданами РФ (работы и услуги, выполненные по договорам)"</f>
        <v>Израсходовано на оплату других работ (услуг), выполненных юридическими лицами или гражданами РФ (работы и услуги, выполненные по договорам)</v>
      </c>
      <c r="M89" s="12"/>
      <c r="N89" s="11" t="str">
        <f t="shared" si="21"/>
        <v/>
      </c>
      <c r="O89" s="19"/>
    </row>
    <row r="90" ht="30" customHeight="1" spans="1:15">
      <c r="A90" s="28" t="s">
        <v>7</v>
      </c>
      <c r="B90" s="14" t="str">
        <f>""</f>
        <v/>
      </c>
      <c r="C90" s="14" t="str">
        <f>"Итого по кандидату"</f>
        <v>Итого по кандидату</v>
      </c>
      <c r="D90" s="15">
        <v>100</v>
      </c>
      <c r="E90" s="15">
        <v>0</v>
      </c>
      <c r="F90" s="14" t="str">
        <f t="shared" si="22"/>
        <v/>
      </c>
      <c r="G90" s="15">
        <v>70</v>
      </c>
      <c r="H90" s="16"/>
      <c r="I90" s="15">
        <v>102.8</v>
      </c>
      <c r="J90" s="21"/>
      <c r="K90" s="15">
        <v>57.44</v>
      </c>
      <c r="L90" s="14" t="str">
        <f t="shared" ref="L90:L121" si="23">""</f>
        <v/>
      </c>
      <c r="M90" s="15">
        <v>0</v>
      </c>
      <c r="N90" s="14" t="str">
        <f t="shared" si="21"/>
        <v/>
      </c>
      <c r="O90" s="19"/>
    </row>
    <row r="91" ht="75" customHeight="1" spans="1:15">
      <c r="A91" s="28" t="s">
        <v>7</v>
      </c>
      <c r="B91" s="14" t="str">
        <f>""</f>
        <v/>
      </c>
      <c r="C91" s="14" t="str">
        <f>"Избирательный округ (Двадцать третий (№ 23)), всего"</f>
        <v>Избирательный округ (Двадцать третий (№ 23)), всего</v>
      </c>
      <c r="D91" s="15">
        <v>100</v>
      </c>
      <c r="E91" s="15">
        <v>0</v>
      </c>
      <c r="F91" s="14" t="str">
        <f t="shared" si="22"/>
        <v/>
      </c>
      <c r="G91" s="15">
        <v>70</v>
      </c>
      <c r="H91" s="16"/>
      <c r="I91" s="15">
        <v>102.8</v>
      </c>
      <c r="J91" s="21"/>
      <c r="K91" s="15">
        <v>57.44</v>
      </c>
      <c r="L91" s="14" t="str">
        <f t="shared" si="23"/>
        <v/>
      </c>
      <c r="M91" s="15">
        <v>0</v>
      </c>
      <c r="N91" s="14" t="str">
        <f t="shared" si="21"/>
        <v/>
      </c>
      <c r="O91" s="19"/>
    </row>
    <row r="92" ht="60" customHeight="1" spans="1:15">
      <c r="A92" s="29" t="s">
        <v>37</v>
      </c>
      <c r="B92" s="11" t="str">
        <f>"Двадцать четвертый (№ 24)"</f>
        <v>Двадцать четвертый (№ 24)</v>
      </c>
      <c r="C92" s="11" t="str">
        <f>"Гладков Дмитрий Анатольевич"</f>
        <v>Гладков Дмитрий Анатольевич</v>
      </c>
      <c r="D92" s="12">
        <v>73</v>
      </c>
      <c r="E92" s="12"/>
      <c r="F92" s="11" t="str">
        <f t="shared" si="22"/>
        <v/>
      </c>
      <c r="G92" s="12"/>
      <c r="H92" s="13"/>
      <c r="I92" s="12">
        <v>45</v>
      </c>
      <c r="J92" s="20"/>
      <c r="K92" s="12"/>
      <c r="L92" s="11" t="str">
        <f t="shared" si="23"/>
        <v/>
      </c>
      <c r="M92" s="12"/>
      <c r="N92" s="11" t="str">
        <f t="shared" si="21"/>
        <v/>
      </c>
      <c r="O92" s="19"/>
    </row>
    <row r="93" ht="30" customHeight="1" spans="1:15">
      <c r="A93" s="28" t="s">
        <v>7</v>
      </c>
      <c r="B93" s="14" t="str">
        <f>""</f>
        <v/>
      </c>
      <c r="C93" s="14" t="str">
        <f>"Итого по кандидату"</f>
        <v>Итого по кандидату</v>
      </c>
      <c r="D93" s="15">
        <v>73</v>
      </c>
      <c r="E93" s="15">
        <v>0</v>
      </c>
      <c r="F93" s="14" t="str">
        <f t="shared" si="22"/>
        <v/>
      </c>
      <c r="G93" s="15">
        <v>0</v>
      </c>
      <c r="H93" s="16"/>
      <c r="I93" s="15">
        <v>45</v>
      </c>
      <c r="J93" s="21"/>
      <c r="K93" s="15">
        <v>0</v>
      </c>
      <c r="L93" s="14" t="str">
        <f t="shared" si="23"/>
        <v/>
      </c>
      <c r="M93" s="15">
        <v>0</v>
      </c>
      <c r="N93" s="14" t="str">
        <f t="shared" si="21"/>
        <v/>
      </c>
      <c r="O93" s="19"/>
    </row>
    <row r="94" ht="60" customHeight="1" spans="1:15">
      <c r="A94" s="29" t="s">
        <v>38</v>
      </c>
      <c r="B94" s="11" t="str">
        <f>"Двадцать четвертый (№ 24)"</f>
        <v>Двадцать четвертый (№ 24)</v>
      </c>
      <c r="C94" s="11" t="str">
        <f>"Романова Светлана Геннадьевна"</f>
        <v>Романова Светлана Геннадьевна</v>
      </c>
      <c r="D94" s="12">
        <v>149.51</v>
      </c>
      <c r="E94" s="12"/>
      <c r="F94" s="11" t="str">
        <f t="shared" si="22"/>
        <v/>
      </c>
      <c r="G94" s="12"/>
      <c r="H94" s="13"/>
      <c r="I94" s="12">
        <v>149.51</v>
      </c>
      <c r="J94" s="20"/>
      <c r="K94" s="12"/>
      <c r="L94" s="11" t="str">
        <f t="shared" si="23"/>
        <v/>
      </c>
      <c r="M94" s="12"/>
      <c r="N94" s="11" t="str">
        <f t="shared" si="21"/>
        <v/>
      </c>
      <c r="O94" s="19"/>
    </row>
    <row r="95" ht="30" customHeight="1" spans="1:15">
      <c r="A95" s="28" t="s">
        <v>7</v>
      </c>
      <c r="B95" s="14" t="str">
        <f>""</f>
        <v/>
      </c>
      <c r="C95" s="14" t="str">
        <f>"Итого по кандидату"</f>
        <v>Итого по кандидату</v>
      </c>
      <c r="D95" s="15">
        <v>149.51</v>
      </c>
      <c r="E95" s="15">
        <v>0</v>
      </c>
      <c r="F95" s="14" t="str">
        <f t="shared" si="22"/>
        <v/>
      </c>
      <c r="G95" s="15">
        <v>0</v>
      </c>
      <c r="H95" s="16"/>
      <c r="I95" s="15">
        <v>149.51</v>
      </c>
      <c r="J95" s="21"/>
      <c r="K95" s="15">
        <v>0</v>
      </c>
      <c r="L95" s="14" t="str">
        <f t="shared" si="23"/>
        <v/>
      </c>
      <c r="M95" s="15">
        <v>0</v>
      </c>
      <c r="N95" s="14" t="str">
        <f t="shared" si="21"/>
        <v/>
      </c>
      <c r="O95" s="19"/>
    </row>
    <row r="96" ht="60" customHeight="1" spans="1:15">
      <c r="A96" s="29" t="s">
        <v>39</v>
      </c>
      <c r="B96" s="11" t="str">
        <f>"Двадцать четвертый (№ 24)"</f>
        <v>Двадцать четвертый (№ 24)</v>
      </c>
      <c r="C96" s="11" t="str">
        <f>"Трубников Андрей Александрович"</f>
        <v>Трубников Андрей Александрович</v>
      </c>
      <c r="D96" s="12">
        <v>40</v>
      </c>
      <c r="E96" s="12"/>
      <c r="F96" s="11" t="str">
        <f t="shared" si="22"/>
        <v/>
      </c>
      <c r="G96" s="12"/>
      <c r="H96" s="13"/>
      <c r="I96" s="12">
        <v>82</v>
      </c>
      <c r="J96" s="20"/>
      <c r="K96" s="12"/>
      <c r="L96" s="11" t="str">
        <f t="shared" si="23"/>
        <v/>
      </c>
      <c r="M96" s="12"/>
      <c r="N96" s="11" t="str">
        <f t="shared" si="21"/>
        <v/>
      </c>
      <c r="O96" s="19"/>
    </row>
    <row r="97" ht="30" customHeight="1" spans="1:15">
      <c r="A97" s="28" t="s">
        <v>7</v>
      </c>
      <c r="B97" s="14" t="str">
        <f>""</f>
        <v/>
      </c>
      <c r="C97" s="14" t="str">
        <f>"Итого по кандидату"</f>
        <v>Итого по кандидату</v>
      </c>
      <c r="D97" s="15">
        <v>40</v>
      </c>
      <c r="E97" s="15">
        <v>0</v>
      </c>
      <c r="F97" s="14" t="str">
        <f t="shared" si="22"/>
        <v/>
      </c>
      <c r="G97" s="15">
        <v>0</v>
      </c>
      <c r="H97" s="16"/>
      <c r="I97" s="15">
        <v>82</v>
      </c>
      <c r="J97" s="21"/>
      <c r="K97" s="15">
        <v>0</v>
      </c>
      <c r="L97" s="14" t="str">
        <f t="shared" si="23"/>
        <v/>
      </c>
      <c r="M97" s="15">
        <v>0</v>
      </c>
      <c r="N97" s="14" t="str">
        <f t="shared" si="21"/>
        <v/>
      </c>
      <c r="O97" s="19"/>
    </row>
    <row r="98" ht="90" customHeight="1" spans="1:15">
      <c r="A98" s="28" t="s">
        <v>7</v>
      </c>
      <c r="B98" s="14" t="str">
        <f>""</f>
        <v/>
      </c>
      <c r="C98" s="14" t="str">
        <f>"Избирательный округ (Двадцать четвертый (№ 24)), всего"</f>
        <v>Избирательный округ (Двадцать четвертый (№ 24)), всего</v>
      </c>
      <c r="D98" s="15">
        <v>262.51</v>
      </c>
      <c r="E98" s="15">
        <v>0</v>
      </c>
      <c r="F98" s="14" t="str">
        <f t="shared" si="22"/>
        <v/>
      </c>
      <c r="G98" s="15">
        <v>0</v>
      </c>
      <c r="H98" s="16"/>
      <c r="I98" s="15">
        <v>276.51</v>
      </c>
      <c r="J98" s="21"/>
      <c r="K98" s="15">
        <v>0</v>
      </c>
      <c r="L98" s="14" t="str">
        <f t="shared" si="23"/>
        <v/>
      </c>
      <c r="M98" s="15">
        <v>0</v>
      </c>
      <c r="N98" s="14" t="str">
        <f t="shared" si="21"/>
        <v/>
      </c>
      <c r="O98" s="19"/>
    </row>
    <row r="99" ht="60" customHeight="1" spans="1:15">
      <c r="A99" s="29" t="s">
        <v>40</v>
      </c>
      <c r="B99" s="11" t="str">
        <f>"Двадцать пятый (№ 25)"</f>
        <v>Двадцать пятый (№ 25)</v>
      </c>
      <c r="C99" s="11" t="str">
        <f>"Филатова Светлана Александровна"</f>
        <v>Филатова Светлана Александровна</v>
      </c>
      <c r="D99" s="12">
        <v>50.54</v>
      </c>
      <c r="E99" s="12"/>
      <c r="F99" s="11" t="str">
        <f t="shared" si="22"/>
        <v/>
      </c>
      <c r="G99" s="12"/>
      <c r="H99" s="13"/>
      <c r="I99" s="12">
        <v>50.54</v>
      </c>
      <c r="J99" s="20"/>
      <c r="K99" s="12"/>
      <c r="L99" s="11" t="str">
        <f t="shared" si="23"/>
        <v/>
      </c>
      <c r="M99" s="12"/>
      <c r="N99" s="11" t="str">
        <f t="shared" si="21"/>
        <v/>
      </c>
      <c r="O99" s="19"/>
    </row>
    <row r="100" ht="30" customHeight="1" spans="1:15">
      <c r="A100" s="28" t="s">
        <v>7</v>
      </c>
      <c r="B100" s="14" t="str">
        <f>""</f>
        <v/>
      </c>
      <c r="C100" s="14" t="str">
        <f>"Итого по кандидату"</f>
        <v>Итого по кандидату</v>
      </c>
      <c r="D100" s="15">
        <v>50.54</v>
      </c>
      <c r="E100" s="15">
        <v>0</v>
      </c>
      <c r="F100" s="14" t="str">
        <f t="shared" si="22"/>
        <v/>
      </c>
      <c r="G100" s="15">
        <v>0</v>
      </c>
      <c r="H100" s="16"/>
      <c r="I100" s="15">
        <v>50.54</v>
      </c>
      <c r="J100" s="21"/>
      <c r="K100" s="15">
        <v>0</v>
      </c>
      <c r="L100" s="14" t="str">
        <f t="shared" si="23"/>
        <v/>
      </c>
      <c r="M100" s="15">
        <v>0</v>
      </c>
      <c r="N100" s="14" t="str">
        <f t="shared" si="21"/>
        <v/>
      </c>
      <c r="O100" s="19"/>
    </row>
    <row r="101" ht="75" customHeight="1" spans="1:15">
      <c r="A101" s="28" t="s">
        <v>7</v>
      </c>
      <c r="B101" s="14" t="str">
        <f>""</f>
        <v/>
      </c>
      <c r="C101" s="14" t="str">
        <f>"Избирательный округ (Двадцать пятый (№ 25)), всего"</f>
        <v>Избирательный округ (Двадцать пятый (№ 25)), всего</v>
      </c>
      <c r="D101" s="15">
        <v>50.54</v>
      </c>
      <c r="E101" s="15">
        <v>0</v>
      </c>
      <c r="F101" s="14" t="str">
        <f t="shared" si="22"/>
        <v/>
      </c>
      <c r="G101" s="15">
        <v>0</v>
      </c>
      <c r="H101" s="16"/>
      <c r="I101" s="15">
        <v>50.54</v>
      </c>
      <c r="J101" s="21"/>
      <c r="K101" s="15">
        <v>0</v>
      </c>
      <c r="L101" s="14" t="str">
        <f t="shared" si="23"/>
        <v/>
      </c>
      <c r="M101" s="15">
        <v>0</v>
      </c>
      <c r="N101" s="14" t="str">
        <f t="shared" si="21"/>
        <v/>
      </c>
      <c r="O101" s="19"/>
    </row>
    <row r="102" ht="45" customHeight="1" spans="1:15">
      <c r="A102" s="29" t="s">
        <v>41</v>
      </c>
      <c r="B102" s="11" t="str">
        <f>"Двадцать шестой (№ 26)"</f>
        <v>Двадцать шестой (№ 26)</v>
      </c>
      <c r="C102" s="11" t="str">
        <f>"Кирьянов Сергей Николаевич"</f>
        <v>Кирьянов Сергей Николаевич</v>
      </c>
      <c r="D102" s="12">
        <v>65.52</v>
      </c>
      <c r="E102" s="12"/>
      <c r="F102" s="11" t="str">
        <f t="shared" si="22"/>
        <v/>
      </c>
      <c r="G102" s="12"/>
      <c r="H102" s="13"/>
      <c r="I102" s="12">
        <v>65.52</v>
      </c>
      <c r="J102" s="20"/>
      <c r="K102" s="12"/>
      <c r="L102" s="11" t="str">
        <f t="shared" si="23"/>
        <v/>
      </c>
      <c r="M102" s="12"/>
      <c r="N102" s="11" t="str">
        <f t="shared" si="21"/>
        <v/>
      </c>
      <c r="O102" s="19"/>
    </row>
    <row r="103" ht="30" customHeight="1" spans="1:15">
      <c r="A103" s="28" t="s">
        <v>7</v>
      </c>
      <c r="B103" s="14" t="str">
        <f>""</f>
        <v/>
      </c>
      <c r="C103" s="14" t="str">
        <f>"Итого по кандидату"</f>
        <v>Итого по кандидату</v>
      </c>
      <c r="D103" s="15">
        <v>65.52</v>
      </c>
      <c r="E103" s="15">
        <v>0</v>
      </c>
      <c r="F103" s="14" t="str">
        <f t="shared" si="22"/>
        <v/>
      </c>
      <c r="G103" s="15">
        <v>0</v>
      </c>
      <c r="H103" s="16"/>
      <c r="I103" s="15">
        <v>65.52</v>
      </c>
      <c r="J103" s="21"/>
      <c r="K103" s="15">
        <v>0</v>
      </c>
      <c r="L103" s="14" t="str">
        <f t="shared" si="23"/>
        <v/>
      </c>
      <c r="M103" s="15">
        <v>0</v>
      </c>
      <c r="N103" s="14" t="str">
        <f t="shared" si="21"/>
        <v/>
      </c>
      <c r="O103" s="19"/>
    </row>
    <row r="104" ht="75" customHeight="1" spans="1:15">
      <c r="A104" s="28" t="s">
        <v>7</v>
      </c>
      <c r="B104" s="14" t="str">
        <f>""</f>
        <v/>
      </c>
      <c r="C104" s="14" t="str">
        <f>"Избирательный округ (Двадцать шестой (№ 26)), всего"</f>
        <v>Избирательный округ (Двадцать шестой (№ 26)), всего</v>
      </c>
      <c r="D104" s="15">
        <v>65.52</v>
      </c>
      <c r="E104" s="15">
        <v>0</v>
      </c>
      <c r="F104" s="14" t="str">
        <f t="shared" si="22"/>
        <v/>
      </c>
      <c r="G104" s="15">
        <v>0</v>
      </c>
      <c r="H104" s="16"/>
      <c r="I104" s="15">
        <v>65.52</v>
      </c>
      <c r="J104" s="21"/>
      <c r="K104" s="15">
        <v>0</v>
      </c>
      <c r="L104" s="14" t="str">
        <f t="shared" si="23"/>
        <v/>
      </c>
      <c r="M104" s="15">
        <v>0</v>
      </c>
      <c r="N104" s="14" t="str">
        <f t="shared" si="21"/>
        <v/>
      </c>
      <c r="O104" s="19"/>
    </row>
    <row r="105" ht="45" customHeight="1" spans="1:15">
      <c r="A105" s="29" t="s">
        <v>42</v>
      </c>
      <c r="B105" s="11" t="str">
        <f>"Двадцать седьмой (№ 27)"</f>
        <v>Двадцать седьмой (№ 27)</v>
      </c>
      <c r="C105" s="11" t="str">
        <f>"Алексеев Алексей Алексеевич"</f>
        <v>Алексеев Алексей Алексеевич</v>
      </c>
      <c r="D105" s="12">
        <v>8.58</v>
      </c>
      <c r="E105" s="12"/>
      <c r="F105" s="11" t="str">
        <f t="shared" si="22"/>
        <v/>
      </c>
      <c r="G105" s="12"/>
      <c r="H105" s="13"/>
      <c r="I105" s="12">
        <v>8.58</v>
      </c>
      <c r="J105" s="20"/>
      <c r="K105" s="12"/>
      <c r="L105" s="11" t="str">
        <f t="shared" si="23"/>
        <v/>
      </c>
      <c r="M105" s="12"/>
      <c r="N105" s="11" t="str">
        <f t="shared" si="21"/>
        <v/>
      </c>
      <c r="O105" s="19"/>
    </row>
    <row r="106" ht="30" customHeight="1" spans="1:15">
      <c r="A106" s="28" t="s">
        <v>7</v>
      </c>
      <c r="B106" s="14" t="str">
        <f>""</f>
        <v/>
      </c>
      <c r="C106" s="14" t="str">
        <f>"Итого по кандидату"</f>
        <v>Итого по кандидату</v>
      </c>
      <c r="D106" s="15">
        <v>8.58</v>
      </c>
      <c r="E106" s="15">
        <v>0</v>
      </c>
      <c r="F106" s="14" t="str">
        <f t="shared" si="22"/>
        <v/>
      </c>
      <c r="G106" s="15">
        <v>0</v>
      </c>
      <c r="H106" s="16"/>
      <c r="I106" s="15">
        <v>8.58</v>
      </c>
      <c r="J106" s="21"/>
      <c r="K106" s="15">
        <v>0</v>
      </c>
      <c r="L106" s="14" t="str">
        <f t="shared" si="23"/>
        <v/>
      </c>
      <c r="M106" s="15">
        <v>0</v>
      </c>
      <c r="N106" s="14" t="str">
        <f t="shared" si="21"/>
        <v/>
      </c>
      <c r="O106" s="19"/>
    </row>
    <row r="107" ht="60" customHeight="1" spans="1:15">
      <c r="A107" s="29" t="s">
        <v>43</v>
      </c>
      <c r="B107" s="11" t="str">
        <f>"Двадцать седьмой (№ 27)"</f>
        <v>Двадцать седьмой (№ 27)</v>
      </c>
      <c r="C107" s="11" t="str">
        <f>"Парфентьева Ирина Владимировна"</f>
        <v>Парфентьева Ирина Владимировна</v>
      </c>
      <c r="D107" s="12">
        <v>79.61</v>
      </c>
      <c r="E107" s="12"/>
      <c r="F107" s="11" t="str">
        <f t="shared" si="22"/>
        <v/>
      </c>
      <c r="G107" s="12"/>
      <c r="H107" s="13"/>
      <c r="I107" s="12">
        <v>79.61</v>
      </c>
      <c r="J107" s="20"/>
      <c r="K107" s="12"/>
      <c r="L107" s="11" t="str">
        <f t="shared" si="23"/>
        <v/>
      </c>
      <c r="M107" s="12"/>
      <c r="N107" s="11" t="str">
        <f t="shared" si="21"/>
        <v/>
      </c>
      <c r="O107" s="19"/>
    </row>
    <row r="108" ht="30" customHeight="1" spans="1:15">
      <c r="A108" s="28" t="s">
        <v>7</v>
      </c>
      <c r="B108" s="14" t="str">
        <f>""</f>
        <v/>
      </c>
      <c r="C108" s="14" t="str">
        <f>"Итого по кандидату"</f>
        <v>Итого по кандидату</v>
      </c>
      <c r="D108" s="15">
        <v>79.61</v>
      </c>
      <c r="E108" s="15">
        <v>0</v>
      </c>
      <c r="F108" s="14" t="str">
        <f t="shared" si="22"/>
        <v/>
      </c>
      <c r="G108" s="15">
        <v>0</v>
      </c>
      <c r="H108" s="16"/>
      <c r="I108" s="15">
        <v>79.61</v>
      </c>
      <c r="J108" s="21"/>
      <c r="K108" s="15">
        <v>0</v>
      </c>
      <c r="L108" s="14" t="str">
        <f t="shared" si="23"/>
        <v/>
      </c>
      <c r="M108" s="15">
        <v>0</v>
      </c>
      <c r="N108" s="14" t="str">
        <f t="shared" si="21"/>
        <v/>
      </c>
      <c r="O108" s="19"/>
    </row>
    <row r="109" ht="75" customHeight="1" spans="1:15">
      <c r="A109" s="28" t="s">
        <v>7</v>
      </c>
      <c r="B109" s="14" t="str">
        <f>""</f>
        <v/>
      </c>
      <c r="C109" s="14" t="str">
        <f>"Избирательный округ (Двадцать седьмой (№ 27)), всего"</f>
        <v>Избирательный округ (Двадцать седьмой (№ 27)), всего</v>
      </c>
      <c r="D109" s="15">
        <v>88.19</v>
      </c>
      <c r="E109" s="15">
        <v>0</v>
      </c>
      <c r="F109" s="14" t="str">
        <f t="shared" si="22"/>
        <v/>
      </c>
      <c r="G109" s="15">
        <v>0</v>
      </c>
      <c r="H109" s="16"/>
      <c r="I109" s="15">
        <v>88.19</v>
      </c>
      <c r="J109" s="21"/>
      <c r="K109" s="15">
        <v>0</v>
      </c>
      <c r="L109" s="14" t="str">
        <f t="shared" si="23"/>
        <v/>
      </c>
      <c r="M109" s="15">
        <v>0</v>
      </c>
      <c r="N109" s="14" t="str">
        <f t="shared" si="21"/>
        <v/>
      </c>
      <c r="O109" s="19"/>
    </row>
    <row r="110" ht="60" customHeight="1" spans="1:15">
      <c r="A110" s="29" t="s">
        <v>44</v>
      </c>
      <c r="B110" s="11" t="str">
        <f>"Двадцать восьмой (№ 28)"</f>
        <v>Двадцать восьмой (№ 28)</v>
      </c>
      <c r="C110" s="11" t="str">
        <f>"Жокин Алексей Владимирович"</f>
        <v>Жокин Алексей Владимирович</v>
      </c>
      <c r="D110" s="12">
        <v>64.72</v>
      </c>
      <c r="E110" s="12"/>
      <c r="F110" s="11" t="str">
        <f t="shared" si="22"/>
        <v/>
      </c>
      <c r="G110" s="12"/>
      <c r="H110" s="13"/>
      <c r="I110" s="12">
        <v>64.72</v>
      </c>
      <c r="J110" s="20"/>
      <c r="K110" s="12"/>
      <c r="L110" s="11" t="str">
        <f t="shared" si="23"/>
        <v/>
      </c>
      <c r="M110" s="12"/>
      <c r="N110" s="11" t="str">
        <f t="shared" si="21"/>
        <v/>
      </c>
      <c r="O110" s="19"/>
    </row>
    <row r="111" ht="30" customHeight="1" spans="1:15">
      <c r="A111" s="28" t="s">
        <v>7</v>
      </c>
      <c r="B111" s="14" t="str">
        <f>""</f>
        <v/>
      </c>
      <c r="C111" s="14" t="str">
        <f>"Итого по кандидату"</f>
        <v>Итого по кандидату</v>
      </c>
      <c r="D111" s="15">
        <v>64.72</v>
      </c>
      <c r="E111" s="15">
        <v>0</v>
      </c>
      <c r="F111" s="14" t="str">
        <f t="shared" si="22"/>
        <v/>
      </c>
      <c r="G111" s="15">
        <v>0</v>
      </c>
      <c r="H111" s="16"/>
      <c r="I111" s="15">
        <v>64.72</v>
      </c>
      <c r="J111" s="21"/>
      <c r="K111" s="15">
        <v>0</v>
      </c>
      <c r="L111" s="14" t="str">
        <f t="shared" si="23"/>
        <v/>
      </c>
      <c r="M111" s="15">
        <v>0</v>
      </c>
      <c r="N111" s="14" t="str">
        <f t="shared" si="21"/>
        <v/>
      </c>
      <c r="O111" s="19"/>
    </row>
    <row r="112" ht="45" customHeight="1" spans="1:15">
      <c r="A112" s="29" t="s">
        <v>45</v>
      </c>
      <c r="B112" s="11" t="str">
        <f>"Двадцать восьмой (№ 28)"</f>
        <v>Двадцать восьмой (№ 28)</v>
      </c>
      <c r="C112" s="11" t="str">
        <f>"Маслова Наталья Николаевна"</f>
        <v>Маслова Наталья Николаевна</v>
      </c>
      <c r="D112" s="12">
        <v>34.6</v>
      </c>
      <c r="E112" s="12"/>
      <c r="F112" s="11" t="str">
        <f t="shared" si="22"/>
        <v/>
      </c>
      <c r="G112" s="12"/>
      <c r="H112" s="13"/>
      <c r="I112" s="12">
        <v>34.51</v>
      </c>
      <c r="J112" s="20"/>
      <c r="K112" s="12"/>
      <c r="L112" s="11" t="str">
        <f t="shared" si="23"/>
        <v/>
      </c>
      <c r="M112" s="12"/>
      <c r="N112" s="11" t="str">
        <f t="shared" si="21"/>
        <v/>
      </c>
      <c r="O112" s="19"/>
    </row>
    <row r="113" ht="30" customHeight="1" spans="1:15">
      <c r="A113" s="28" t="s">
        <v>7</v>
      </c>
      <c r="B113" s="14" t="str">
        <f>""</f>
        <v/>
      </c>
      <c r="C113" s="14" t="str">
        <f>"Итого по кандидату"</f>
        <v>Итого по кандидату</v>
      </c>
      <c r="D113" s="15">
        <v>34.6</v>
      </c>
      <c r="E113" s="15">
        <v>0</v>
      </c>
      <c r="F113" s="14" t="str">
        <f t="shared" si="22"/>
        <v/>
      </c>
      <c r="G113" s="15">
        <v>0</v>
      </c>
      <c r="H113" s="16"/>
      <c r="I113" s="15">
        <v>34.51</v>
      </c>
      <c r="J113" s="21"/>
      <c r="K113" s="15">
        <v>0</v>
      </c>
      <c r="L113" s="14" t="str">
        <f t="shared" si="23"/>
        <v/>
      </c>
      <c r="M113" s="15">
        <v>0</v>
      </c>
      <c r="N113" s="14" t="str">
        <f t="shared" si="21"/>
        <v/>
      </c>
      <c r="O113" s="19"/>
    </row>
    <row r="114" ht="75" customHeight="1" spans="1:15">
      <c r="A114" s="28" t="s">
        <v>7</v>
      </c>
      <c r="B114" s="14" t="str">
        <f>""</f>
        <v/>
      </c>
      <c r="C114" s="14" t="str">
        <f>"Избирательный округ (Двадцать восьмой (№ 28)), всего"</f>
        <v>Избирательный округ (Двадцать восьмой (№ 28)), всего</v>
      </c>
      <c r="D114" s="15">
        <v>99.32</v>
      </c>
      <c r="E114" s="15">
        <v>0</v>
      </c>
      <c r="F114" s="14" t="str">
        <f t="shared" si="22"/>
        <v/>
      </c>
      <c r="G114" s="15">
        <v>0</v>
      </c>
      <c r="H114" s="16"/>
      <c r="I114" s="15">
        <v>99.22</v>
      </c>
      <c r="J114" s="21"/>
      <c r="K114" s="15">
        <v>0</v>
      </c>
      <c r="L114" s="14" t="str">
        <f t="shared" si="23"/>
        <v/>
      </c>
      <c r="M114" s="15">
        <v>0</v>
      </c>
      <c r="N114" s="14" t="str">
        <f t="shared" si="21"/>
        <v/>
      </c>
      <c r="O114" s="19"/>
    </row>
    <row r="115" ht="45" customHeight="1" spans="1:15">
      <c r="A115" s="29" t="s">
        <v>46</v>
      </c>
      <c r="B115" s="11" t="str">
        <f>"Двадцать девятый (№ 29)"</f>
        <v>Двадцать девятый (№ 29)</v>
      </c>
      <c r="C115" s="11" t="str">
        <f>"Аксёнов Иван Сергеевич"</f>
        <v>Аксёнов Иван Сергеевич</v>
      </c>
      <c r="D115" s="12">
        <v>54.56</v>
      </c>
      <c r="E115" s="12"/>
      <c r="F115" s="11" t="str">
        <f t="shared" si="22"/>
        <v/>
      </c>
      <c r="G115" s="12"/>
      <c r="H115" s="13"/>
      <c r="I115" s="12">
        <v>54.56</v>
      </c>
      <c r="J115" s="20"/>
      <c r="K115" s="12"/>
      <c r="L115" s="11" t="str">
        <f t="shared" si="23"/>
        <v/>
      </c>
      <c r="M115" s="12"/>
      <c r="N115" s="11" t="str">
        <f t="shared" si="21"/>
        <v/>
      </c>
      <c r="O115" s="19"/>
    </row>
    <row r="116" ht="30" customHeight="1" spans="1:15">
      <c r="A116" s="28" t="s">
        <v>7</v>
      </c>
      <c r="B116" s="14" t="str">
        <f>""</f>
        <v/>
      </c>
      <c r="C116" s="14" t="str">
        <f>"Итого по кандидату"</f>
        <v>Итого по кандидату</v>
      </c>
      <c r="D116" s="15">
        <v>54.56</v>
      </c>
      <c r="E116" s="15">
        <v>0</v>
      </c>
      <c r="F116" s="14" t="str">
        <f t="shared" si="22"/>
        <v/>
      </c>
      <c r="G116" s="15">
        <v>0</v>
      </c>
      <c r="H116" s="16"/>
      <c r="I116" s="15">
        <v>54.56</v>
      </c>
      <c r="J116" s="21"/>
      <c r="K116" s="15">
        <v>0</v>
      </c>
      <c r="L116" s="14" t="str">
        <f t="shared" si="23"/>
        <v/>
      </c>
      <c r="M116" s="15">
        <v>0</v>
      </c>
      <c r="N116" s="14" t="str">
        <f t="shared" si="21"/>
        <v/>
      </c>
      <c r="O116" s="19"/>
    </row>
    <row r="117" ht="75" customHeight="1" spans="1:15">
      <c r="A117" s="28" t="s">
        <v>7</v>
      </c>
      <c r="B117" s="14" t="str">
        <f>""</f>
        <v/>
      </c>
      <c r="C117" s="14" t="str">
        <f>"Избирательный округ (Двадцать девятый (№ 29)), всего"</f>
        <v>Избирательный округ (Двадцать девятый (№ 29)), всего</v>
      </c>
      <c r="D117" s="15">
        <v>54.56</v>
      </c>
      <c r="E117" s="15">
        <v>0</v>
      </c>
      <c r="F117" s="14" t="str">
        <f t="shared" si="22"/>
        <v/>
      </c>
      <c r="G117" s="15">
        <v>0</v>
      </c>
      <c r="H117" s="16"/>
      <c r="I117" s="15">
        <v>54.56</v>
      </c>
      <c r="J117" s="21"/>
      <c r="K117" s="15">
        <v>0</v>
      </c>
      <c r="L117" s="14" t="str">
        <f t="shared" si="23"/>
        <v/>
      </c>
      <c r="M117" s="15">
        <v>0</v>
      </c>
      <c r="N117" s="14" t="str">
        <f t="shared" si="21"/>
        <v/>
      </c>
      <c r="O117" s="19"/>
    </row>
    <row r="118" ht="45" customHeight="1" spans="1:15">
      <c r="A118" s="29" t="s">
        <v>47</v>
      </c>
      <c r="B118" s="11" t="str">
        <f>"Тридцатый (№ 30)"</f>
        <v>Тридцатый (№ 30)</v>
      </c>
      <c r="C118" s="11" t="str">
        <f>"Розенков Михаил Алексеевич"</f>
        <v>Розенков Михаил Алексеевич</v>
      </c>
      <c r="D118" s="12">
        <v>54.56</v>
      </c>
      <c r="E118" s="12"/>
      <c r="F118" s="11" t="str">
        <f t="shared" si="22"/>
        <v/>
      </c>
      <c r="G118" s="12"/>
      <c r="H118" s="13"/>
      <c r="I118" s="12">
        <v>54.56</v>
      </c>
      <c r="J118" s="20"/>
      <c r="K118" s="12"/>
      <c r="L118" s="11" t="str">
        <f t="shared" si="23"/>
        <v/>
      </c>
      <c r="M118" s="12"/>
      <c r="N118" s="11" t="str">
        <f t="shared" si="21"/>
        <v/>
      </c>
      <c r="O118" s="19"/>
    </row>
    <row r="119" ht="30" customHeight="1" spans="1:15">
      <c r="A119" s="28" t="s">
        <v>7</v>
      </c>
      <c r="B119" s="14" t="str">
        <f>""</f>
        <v/>
      </c>
      <c r="C119" s="14" t="str">
        <f>"Итого по кандидату"</f>
        <v>Итого по кандидату</v>
      </c>
      <c r="D119" s="15">
        <v>54.56</v>
      </c>
      <c r="E119" s="15">
        <v>0</v>
      </c>
      <c r="F119" s="14" t="str">
        <f t="shared" si="22"/>
        <v/>
      </c>
      <c r="G119" s="15">
        <v>0</v>
      </c>
      <c r="H119" s="16"/>
      <c r="I119" s="15">
        <v>54.56</v>
      </c>
      <c r="J119" s="21"/>
      <c r="K119" s="15">
        <v>0</v>
      </c>
      <c r="L119" s="14" t="str">
        <f t="shared" si="23"/>
        <v/>
      </c>
      <c r="M119" s="15">
        <v>0</v>
      </c>
      <c r="N119" s="14" t="str">
        <f t="shared" si="21"/>
        <v/>
      </c>
      <c r="O119" s="19"/>
    </row>
    <row r="120" ht="75" customHeight="1" spans="1:15">
      <c r="A120" s="28" t="s">
        <v>7</v>
      </c>
      <c r="B120" s="14" t="str">
        <f>""</f>
        <v/>
      </c>
      <c r="C120" s="14" t="str">
        <f>"Избирательный округ (Тридцатый (№ 30)), всего"</f>
        <v>Избирательный округ (Тридцатый (№ 30)), всего</v>
      </c>
      <c r="D120" s="15">
        <v>54.56</v>
      </c>
      <c r="E120" s="15">
        <v>0</v>
      </c>
      <c r="F120" s="14" t="str">
        <f t="shared" si="22"/>
        <v/>
      </c>
      <c r="G120" s="15">
        <v>0</v>
      </c>
      <c r="H120" s="16"/>
      <c r="I120" s="15">
        <v>54.56</v>
      </c>
      <c r="J120" s="21"/>
      <c r="K120" s="15">
        <v>0</v>
      </c>
      <c r="L120" s="14" t="str">
        <f t="shared" si="23"/>
        <v/>
      </c>
      <c r="M120" s="15">
        <v>0</v>
      </c>
      <c r="N120" s="14" t="str">
        <f t="shared" si="21"/>
        <v/>
      </c>
      <c r="O120" s="19"/>
    </row>
    <row r="121" spans="1:15">
      <c r="A121" s="28" t="s">
        <v>7</v>
      </c>
      <c r="B121" s="14" t="str">
        <f>""</f>
        <v/>
      </c>
      <c r="C121" s="14" t="str">
        <f>"Итого"</f>
        <v>Итого</v>
      </c>
      <c r="D121" s="15">
        <v>6014.66</v>
      </c>
      <c r="E121" s="15">
        <v>2675.25</v>
      </c>
      <c r="F121" s="14" t="str">
        <f t="shared" si="22"/>
        <v/>
      </c>
      <c r="G121" s="15">
        <v>210</v>
      </c>
      <c r="H121" s="16">
        <v>3</v>
      </c>
      <c r="I121" s="15">
        <v>4682.84</v>
      </c>
      <c r="J121" s="21"/>
      <c r="K121" s="15">
        <v>1692.85</v>
      </c>
      <c r="L121" s="14" t="str">
        <f t="shared" si="23"/>
        <v/>
      </c>
      <c r="M121" s="15">
        <v>0</v>
      </c>
      <c r="N121" s="14" t="str">
        <f t="shared" si="21"/>
        <v/>
      </c>
      <c r="O121" s="19"/>
    </row>
    <row r="122" spans="15:15">
      <c r="O122" s="19"/>
    </row>
    <row r="124" spans="1:14">
      <c r="A124" s="22"/>
      <c r="B124" s="22"/>
      <c r="C124" s="22"/>
      <c r="D124" s="22"/>
      <c r="E124" s="22"/>
      <c r="G124" s="23"/>
      <c r="H124" s="23"/>
      <c r="L124" s="26"/>
      <c r="M124" s="26"/>
      <c r="N124" s="26"/>
    </row>
    <row r="125" ht="30" customHeight="1" spans="1:14">
      <c r="A125" s="24"/>
      <c r="B125" s="24"/>
      <c r="C125" s="24"/>
      <c r="D125" s="24"/>
      <c r="E125" s="24"/>
      <c r="G125" s="25"/>
      <c r="H125" s="25"/>
      <c r="L125" s="27"/>
      <c r="M125" s="27"/>
      <c r="N125" s="27"/>
    </row>
  </sheetData>
  <mergeCells count="25">
    <mergeCell ref="A4:N4"/>
    <mergeCell ref="A5:N5"/>
    <mergeCell ref="D8:H8"/>
    <mergeCell ref="I8:L8"/>
    <mergeCell ref="M8:N8"/>
    <mergeCell ref="E9:H9"/>
    <mergeCell ref="J9:L9"/>
    <mergeCell ref="E10:F10"/>
    <mergeCell ref="G10:H10"/>
    <mergeCell ref="A124:E124"/>
    <mergeCell ref="G124:H124"/>
    <mergeCell ref="L124:N124"/>
    <mergeCell ref="A125:E125"/>
    <mergeCell ref="G125:H125"/>
    <mergeCell ref="L125:N125"/>
    <mergeCell ref="A8:A11"/>
    <mergeCell ref="B8:B11"/>
    <mergeCell ref="C8:C11"/>
    <mergeCell ref="D9:D11"/>
    <mergeCell ref="I9:I11"/>
    <mergeCell ref="J10:J11"/>
    <mergeCell ref="K10:K11"/>
    <mergeCell ref="L10:L11"/>
    <mergeCell ref="M9:M11"/>
    <mergeCell ref="N9:N11"/>
  </mergeCells>
  <pageMargins left="0.347222222222222" right="0.138888888888889" top="0.138888888888889" bottom="0.138888888888889" header="0.3" footer="0.3"/>
  <pageSetup paperSize="9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Отчет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kovro</cp:lastModifiedBy>
  <dcterms:created xsi:type="dcterms:W3CDTF">2024-09-03T07:34:00Z</dcterms:created>
  <dcterms:modified xsi:type="dcterms:W3CDTF">2024-09-03T07:40:06Z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ECFFE592A03E490F871F201BF2C244CC_12</vt:lpwstr>
  </property>
  <property fmtid="{D5CDD505-2E9C-101B-9397-08002B2CF9AE}" pid="3" name="KSOProductBuildVer">
    <vt:lpwstr>1049-12.2.0.17562</vt:lpwstr>
  </property>
</Properties>
</file>